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sgov.sharepoint.com/sites/CEAD-ENGManuteno/Shared Documents/Planejamento Manutenção Predial 2023-24/Planilhas Formação de Preço e Proposta/Vai para o TR/Polo X/"/>
    </mc:Choice>
  </mc:AlternateContent>
  <xr:revisionPtr revIDLastSave="10" documentId="13_ncr:1_{2F479CF7-6809-4D77-9CC8-051AA1974E62}" xr6:coauthVersionLast="47" xr6:coauthVersionMax="47" xr10:uidLastSave="{43B7C3C1-4F2F-4330-AA37-B561A5FDF51A}"/>
  <bookViews>
    <workbookView xWindow="-120" yWindow="-120" windowWidth="29040" windowHeight="15720" tabRatio="879" xr2:uid="{00000000-000D-0000-FFFF-FFFF00000000}"/>
  </bookViews>
  <sheets>
    <sheet name="Valor da Contratação" sheetId="1" r:id="rId1"/>
    <sheet name="Resumo" sheetId="2" r:id="rId2"/>
    <sheet name="Equipe Técnica" sheetId="3" r:id="rId3"/>
    <sheet name="Base Ijuí" sheetId="4" r:id="rId4"/>
    <sheet name="Desl. Base Ijuí" sheetId="5" r:id="rId5"/>
    <sheet name="Custo Eng. Eletricista" sheetId="18" r:id="rId6"/>
    <sheet name="Comp. Eng. Eletricista" sheetId="19" r:id="rId7"/>
    <sheet name="Custo Oficial de Manutenção" sheetId="16" r:id="rId8"/>
    <sheet name="Comp. Oficial de Manutenção" sheetId="17" r:id="rId9"/>
    <sheet name="Comp. Veículo" sheetId="12" r:id="rId10"/>
    <sheet name="Unidades" sheetId="13" r:id="rId11"/>
    <sheet name="BDI" sheetId="14" r:id="rId12"/>
    <sheet name="Divisão Custos ISSQN" sheetId="15" r:id="rId13"/>
  </sheets>
  <definedNames>
    <definedName name="___xlnm__FilterDatabase_6" localSheetId="6">#REF!</definedName>
    <definedName name="___xlnm__FilterDatabase_6" localSheetId="8">#REF!</definedName>
    <definedName name="___xlnm__FilterDatabase_6" localSheetId="5">#REF!</definedName>
    <definedName name="___xlnm__FilterDatabase_6" localSheetId="7">#REF!</definedName>
    <definedName name="___xlnm__FilterDatabase_6">#REF!</definedName>
    <definedName name="_FilterDatabase_3" localSheetId="6">#REF!</definedName>
    <definedName name="_FilterDatabase_3" localSheetId="8">#REF!</definedName>
    <definedName name="_FilterDatabase_3" localSheetId="5">#REF!</definedName>
    <definedName name="_FilterDatabase_3" localSheetId="7">#REF!</definedName>
    <definedName name="_FilterDatabase_3">#REF!</definedName>
    <definedName name="_xlnm_Print_Area" localSheetId="3">'Base Ijuí'!$B$2:$AG$30</definedName>
    <definedName name="_xlnm_Print_Area" localSheetId="11">NA()</definedName>
    <definedName name="_xlnm_Print_Area" localSheetId="4">'Desl. Base Ijuí'!$B$2:$M$39</definedName>
    <definedName name="_xlnm_Print_Area" localSheetId="2">'Equipe Técnica'!$B$2:$E$13</definedName>
    <definedName name="_xlnm_Print_Area" localSheetId="10">Unidades!$C$2:$F$19</definedName>
    <definedName name="_xlnm_Print_Area_0" localSheetId="3">'Base Ijuí'!$B$2:$AG$30</definedName>
    <definedName name="_xlnm_Print_Area_0" localSheetId="11">NA()</definedName>
    <definedName name="_xlnm_Print_Area_0" localSheetId="4">'Desl. Base Ijuí'!$B$2:$M$39</definedName>
    <definedName name="_xlnm_Print_Area_0" localSheetId="2">'Equipe Técnica'!$B$2:$E$13</definedName>
    <definedName name="_xlnm_Print_Area_0" localSheetId="10">Unidades!$C$2:$F$19</definedName>
    <definedName name="_xlnm.Print_Area" localSheetId="3">'Base Ijuí'!$B$2:$AW$30</definedName>
    <definedName name="_xlnm.Print_Area" localSheetId="11">BDI!$B$1:$I$40</definedName>
    <definedName name="_xlnm.Print_Area" localSheetId="4">'Desl. Base Ijuí'!$B$2:$M$39</definedName>
    <definedName name="_xlnm.Print_Area" localSheetId="2">'Equipe Técnica'!$B$2:$E$13</definedName>
    <definedName name="_xlnm.Print_Area" localSheetId="10">Unidades!$B$2:$H$19</definedName>
    <definedName name="Excel_BuiltIn__FilterDatabase_9_1" localSheetId="6">#REF!</definedName>
    <definedName name="Excel_BuiltIn__FilterDatabase_9_1" localSheetId="8">#REF!</definedName>
    <definedName name="Excel_BuiltIn__FilterDatabase_9_1" localSheetId="5">#REF!</definedName>
    <definedName name="Excel_BuiltIn__FilterDatabase_9_1" localSheetId="7">#REF!</definedName>
    <definedName name="Excel_BuiltIn__FilterDatabase_9_1">#REF!</definedName>
    <definedName name="Excel_BuiltIn_Print_Area" localSheetId="3">'Base Ijuí'!$B$2:$AG$30</definedName>
    <definedName name="Excel_BuiltIn_Print_Area" localSheetId="11">NA()</definedName>
    <definedName name="Excel_BuiltIn_Print_Area" localSheetId="10">Unidades!$C$2:$F$19</definedName>
    <definedName name="Print_Area_0" localSheetId="3">'Base Ijuí'!$B$2:$AG$31</definedName>
    <definedName name="Print_Area_0" localSheetId="11">NA()</definedName>
    <definedName name="Print_Area_0" localSheetId="4">'Desl. Base Ijuí'!$B$2:$M$39</definedName>
    <definedName name="Print_Area_0" localSheetId="2">'Equipe Técnica'!$B$2:$E$13</definedName>
    <definedName name="Print_Area_0" localSheetId="10">Unidades!$C$2:$F$19</definedName>
    <definedName name="Print_Area_0_0" localSheetId="3">'Base Ijuí'!$B$2:$AG$30</definedName>
    <definedName name="Print_Area_0_0" localSheetId="11">NA()</definedName>
    <definedName name="Print_Area_0_0" localSheetId="4">'Desl. Base Ijuí'!$B$2:$M$39</definedName>
    <definedName name="Print_Area_0_0" localSheetId="2">'Equipe Técnica'!$B$2:$E$13</definedName>
    <definedName name="Print_Area_0_0" localSheetId="10">Unidades!$C$2:$F$19</definedName>
    <definedName name="Print_Area_0_0_0" localSheetId="3">'Base Ijuí'!$B$4:$O$31</definedName>
    <definedName name="Print_Area_0_0_0" localSheetId="4">'Desl. Base Ijuí'!$B$4:$L$39</definedName>
    <definedName name="Print_Area_0_0_0_0" localSheetId="3">'Base Ijuí'!$B$4:$O$31</definedName>
    <definedName name="Print_Area_0_0_0_0" localSheetId="4">'Desl. Base Ijuí'!$B$4:$L$39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" i="3" l="1"/>
  <c r="G15" i="19"/>
  <c r="I15" i="19" s="1"/>
  <c r="D11" i="19" s="1"/>
  <c r="I19" i="19"/>
  <c r="I18" i="19"/>
  <c r="I17" i="19"/>
  <c r="I16" i="19"/>
  <c r="I14" i="19"/>
  <c r="C14" i="18"/>
  <c r="C13" i="18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7" i="4"/>
  <c r="Q23" i="5"/>
  <c r="Q20" i="5"/>
  <c r="Q21" i="5" s="1"/>
  <c r="Q18" i="5"/>
  <c r="Q16" i="5"/>
  <c r="Q14" i="5"/>
  <c r="Q12" i="5"/>
  <c r="Q10" i="5"/>
  <c r="Q8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5" i="5"/>
  <c r="C29" i="4"/>
  <c r="I22" i="17"/>
  <c r="I21" i="17"/>
  <c r="I20" i="17"/>
  <c r="I19" i="17"/>
  <c r="I18" i="17"/>
  <c r="I17" i="17"/>
  <c r="I16" i="17"/>
  <c r="I15" i="17"/>
  <c r="I14" i="17"/>
  <c r="D11" i="17"/>
  <c r="C17" i="16"/>
  <c r="C19" i="16" s="1"/>
  <c r="C16" i="16"/>
  <c r="C18" i="16" s="1"/>
  <c r="B3" i="14" l="1"/>
  <c r="B30" i="4" l="1"/>
  <c r="H9" i="13"/>
  <c r="J43" i="14"/>
  <c r="J44" i="14" s="1"/>
  <c r="I43" i="14"/>
  <c r="I44" i="14" s="1"/>
  <c r="H43" i="14"/>
  <c r="H44" i="14" s="1"/>
  <c r="G43" i="14"/>
  <c r="G44" i="14" s="1"/>
  <c r="F43" i="14"/>
  <c r="F44" i="14" s="1"/>
  <c r="E43" i="14"/>
  <c r="E44" i="14" s="1"/>
  <c r="D43" i="14"/>
  <c r="D44" i="14" s="1"/>
  <c r="J29" i="14"/>
  <c r="J30" i="14" s="1"/>
  <c r="I29" i="14"/>
  <c r="I30" i="14" s="1"/>
  <c r="H17" i="13" s="1"/>
  <c r="H29" i="14"/>
  <c r="H30" i="14" s="1"/>
  <c r="G29" i="14"/>
  <c r="G30" i="14" s="1"/>
  <c r="H5" i="13" s="1"/>
  <c r="F29" i="14"/>
  <c r="F30" i="14" s="1"/>
  <c r="E29" i="14"/>
  <c r="E30" i="14" s="1"/>
  <c r="D29" i="14"/>
  <c r="D30" i="14" s="1"/>
  <c r="H20" i="13" l="1"/>
  <c r="H15" i="13"/>
  <c r="H14" i="13"/>
  <c r="H23" i="13"/>
  <c r="H21" i="13"/>
  <c r="H16" i="13"/>
  <c r="H13" i="13"/>
  <c r="H19" i="13"/>
  <c r="H12" i="13"/>
  <c r="H11" i="13"/>
  <c r="H10" i="13"/>
  <c r="H8" i="13"/>
  <c r="H7" i="13"/>
  <c r="H6" i="13"/>
  <c r="H18" i="13"/>
  <c r="H22" i="13"/>
  <c r="D24" i="12"/>
  <c r="D23" i="12"/>
  <c r="G32" i="12"/>
  <c r="G31" i="12"/>
  <c r="G30" i="12"/>
  <c r="K8" i="4" l="1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7" i="4"/>
  <c r="P23" i="5"/>
  <c r="K6" i="5"/>
  <c r="L6" i="5" s="1"/>
  <c r="O6" i="5" s="1"/>
  <c r="G6" i="5"/>
  <c r="K5" i="5"/>
  <c r="G5" i="5"/>
  <c r="P6" i="5"/>
  <c r="P22" i="5"/>
  <c r="K22" i="5"/>
  <c r="L22" i="5" s="1"/>
  <c r="O22" i="5" s="1"/>
  <c r="O23" i="5" s="1"/>
  <c r="G22" i="5"/>
  <c r="P20" i="5"/>
  <c r="P21" i="5" s="1"/>
  <c r="K20" i="5"/>
  <c r="L20" i="5" s="1"/>
  <c r="O20" i="5" s="1"/>
  <c r="O21" i="5" s="1"/>
  <c r="G20" i="5"/>
  <c r="K19" i="5" l="1"/>
  <c r="L19" i="5" s="1"/>
  <c r="O19" i="5" s="1"/>
  <c r="G19" i="5"/>
  <c r="P17" i="5"/>
  <c r="P18" i="5" s="1"/>
  <c r="K17" i="5"/>
  <c r="L17" i="5" s="1"/>
  <c r="O17" i="5" s="1"/>
  <c r="O18" i="5" s="1"/>
  <c r="G17" i="5"/>
  <c r="P15" i="5"/>
  <c r="P16" i="5" s="1"/>
  <c r="I15" i="5"/>
  <c r="K15" i="5" s="1"/>
  <c r="L15" i="5" s="1"/>
  <c r="O15" i="5" s="1"/>
  <c r="O16" i="5" s="1"/>
  <c r="E15" i="5"/>
  <c r="G15" i="5" s="1"/>
  <c r="P13" i="5"/>
  <c r="P14" i="5" s="1"/>
  <c r="K13" i="5"/>
  <c r="L13" i="5" s="1"/>
  <c r="O13" i="5" s="1"/>
  <c r="O14" i="5" s="1"/>
  <c r="G13" i="5"/>
  <c r="P11" i="5"/>
  <c r="P12" i="5" s="1"/>
  <c r="I11" i="5"/>
  <c r="K11" i="5" s="1"/>
  <c r="L11" i="5" s="1"/>
  <c r="O11" i="5" s="1"/>
  <c r="O12" i="5" s="1"/>
  <c r="E11" i="5"/>
  <c r="G11" i="5" s="1"/>
  <c r="P9" i="5"/>
  <c r="P10" i="5" s="1"/>
  <c r="I9" i="5"/>
  <c r="K9" i="5" s="1"/>
  <c r="L9" i="5" s="1"/>
  <c r="O9" i="5" s="1"/>
  <c r="O10" i="5" s="1"/>
  <c r="E9" i="5"/>
  <c r="G9" i="5" s="1"/>
  <c r="P7" i="5"/>
  <c r="P8" i="5" s="1"/>
  <c r="K7" i="5"/>
  <c r="L7" i="5" s="1"/>
  <c r="O7" i="5" s="1"/>
  <c r="O8" i="5" s="1"/>
  <c r="G7" i="5"/>
  <c r="P5" i="5"/>
  <c r="L5" i="5"/>
  <c r="O5" i="5" s="1"/>
  <c r="Q9" i="4" l="1"/>
  <c r="X9" i="4" s="1"/>
  <c r="Q17" i="4"/>
  <c r="X17" i="4" s="1"/>
  <c r="Q18" i="4"/>
  <c r="X18" i="4" s="1"/>
  <c r="Q21" i="4"/>
  <c r="X21" i="4" s="1"/>
  <c r="Q23" i="4"/>
  <c r="Q11" i="4" l="1"/>
  <c r="X11" i="4" s="1"/>
  <c r="X23" i="4"/>
  <c r="Q10" i="4"/>
  <c r="X10" i="4" s="1"/>
  <c r="Q8" i="4"/>
  <c r="Q16" i="4"/>
  <c r="X16" i="4" s="1"/>
  <c r="Q22" i="4"/>
  <c r="X22" i="4" s="1"/>
  <c r="Q20" i="4"/>
  <c r="X20" i="4" s="1"/>
  <c r="Q19" i="4"/>
  <c r="B13" i="15"/>
  <c r="C13" i="15" s="1"/>
  <c r="B18" i="2"/>
  <c r="B28" i="2"/>
  <c r="B23" i="15"/>
  <c r="C23" i="15" s="1"/>
  <c r="B16" i="2"/>
  <c r="B11" i="15"/>
  <c r="C11" i="15" s="1"/>
  <c r="B25" i="2"/>
  <c r="B20" i="15"/>
  <c r="C20" i="15" s="1"/>
  <c r="B13" i="2"/>
  <c r="B8" i="15"/>
  <c r="C8" i="15" s="1"/>
  <c r="B26" i="2"/>
  <c r="B21" i="15"/>
  <c r="C21" i="15" s="1"/>
  <c r="B24" i="2"/>
  <c r="B19" i="15"/>
  <c r="C19" i="15" s="1"/>
  <c r="B12" i="2"/>
  <c r="B7" i="15"/>
  <c r="C7" i="15" s="1"/>
  <c r="B17" i="2"/>
  <c r="B12" i="15"/>
  <c r="C12" i="15" s="1"/>
  <c r="B15" i="2"/>
  <c r="B10" i="15"/>
  <c r="C10" i="15" s="1"/>
  <c r="Q15" i="4"/>
  <c r="X15" i="4" s="1"/>
  <c r="B11" i="2"/>
  <c r="B6" i="15"/>
  <c r="C6" i="15" s="1"/>
  <c r="B16" i="15"/>
  <c r="C16" i="15" s="1"/>
  <c r="B21" i="2"/>
  <c r="Q14" i="4"/>
  <c r="X14" i="4" s="1"/>
  <c r="B20" i="2"/>
  <c r="B15" i="15"/>
  <c r="C15" i="15" s="1"/>
  <c r="Q25" i="4"/>
  <c r="X25" i="4" s="1"/>
  <c r="Q13" i="4"/>
  <c r="X13" i="4" s="1"/>
  <c r="AI25" i="4"/>
  <c r="B27" i="2"/>
  <c r="B22" i="15"/>
  <c r="C22" i="15" s="1"/>
  <c r="B14" i="2"/>
  <c r="B9" i="15"/>
  <c r="C9" i="15" s="1"/>
  <c r="B18" i="15"/>
  <c r="C18" i="15" s="1"/>
  <c r="B23" i="2"/>
  <c r="B22" i="2"/>
  <c r="B17" i="15"/>
  <c r="C17" i="15" s="1"/>
  <c r="B19" i="2"/>
  <c r="B14" i="15"/>
  <c r="C14" i="15" s="1"/>
  <c r="Q24" i="4"/>
  <c r="X24" i="4" s="1"/>
  <c r="Q12" i="4"/>
  <c r="AI24" i="4"/>
  <c r="AI23" i="4"/>
  <c r="C23" i="4"/>
  <c r="D23" i="4"/>
  <c r="E23" i="4"/>
  <c r="F23" i="4"/>
  <c r="C24" i="4"/>
  <c r="D24" i="4"/>
  <c r="E24" i="4"/>
  <c r="F24" i="4"/>
  <c r="C25" i="4"/>
  <c r="D25" i="4"/>
  <c r="E25" i="4"/>
  <c r="F25" i="4"/>
  <c r="B6" i="2"/>
  <c r="B2" i="15"/>
  <c r="B2" i="13"/>
  <c r="B2" i="3"/>
  <c r="B2" i="2"/>
  <c r="X8" i="4" l="1"/>
  <c r="X12" i="4"/>
  <c r="X19" i="4"/>
  <c r="G24" i="4"/>
  <c r="H24" i="4" s="1"/>
  <c r="R24" i="4" s="1"/>
  <c r="G25" i="4"/>
  <c r="H25" i="4" s="1"/>
  <c r="L25" i="4" s="1"/>
  <c r="T25" i="4" s="1"/>
  <c r="G23" i="4"/>
  <c r="H23" i="4" s="1"/>
  <c r="C38" i="5"/>
  <c r="AI2" i="4"/>
  <c r="B5" i="15"/>
  <c r="C5" i="15" s="1"/>
  <c r="B10" i="2"/>
  <c r="Q24" i="5"/>
  <c r="N24" i="5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M24" i="5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7" i="4"/>
  <c r="F8" i="4"/>
  <c r="F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7" i="4"/>
  <c r="E8" i="4"/>
  <c r="E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7" i="4"/>
  <c r="D8" i="4"/>
  <c r="D9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7" i="4"/>
  <c r="I31" i="12"/>
  <c r="I18" i="12"/>
  <c r="I17" i="12"/>
  <c r="I16" i="12"/>
  <c r="I15" i="12"/>
  <c r="I14" i="12"/>
  <c r="C4" i="5"/>
  <c r="B2" i="5"/>
  <c r="AI7" i="4"/>
  <c r="Q7" i="4"/>
  <c r="AS4" i="4"/>
  <c r="Q2" i="4"/>
  <c r="B2" i="4"/>
  <c r="E8" i="3"/>
  <c r="D8" i="3"/>
  <c r="C8" i="3"/>
  <c r="E7" i="3"/>
  <c r="D7" i="3"/>
  <c r="C7" i="3"/>
  <c r="B29" i="2"/>
  <c r="B8" i="2"/>
  <c r="X7" i="4" l="1"/>
  <c r="M25" i="4"/>
  <c r="U25" i="4" s="1"/>
  <c r="L24" i="4"/>
  <c r="T24" i="4" s="1"/>
  <c r="M24" i="4"/>
  <c r="U24" i="4" s="1"/>
  <c r="I24" i="4"/>
  <c r="S24" i="4" s="1"/>
  <c r="L23" i="4"/>
  <c r="T23" i="4" s="1"/>
  <c r="R23" i="4"/>
  <c r="I25" i="4"/>
  <c r="S25" i="4" s="1"/>
  <c r="R25" i="4"/>
  <c r="M23" i="4"/>
  <c r="U23" i="4" s="1"/>
  <c r="I23" i="4"/>
  <c r="S23" i="4" s="1"/>
  <c r="C13" i="3"/>
  <c r="AJ23" i="4"/>
  <c r="AJ24" i="4"/>
  <c r="AJ19" i="4"/>
  <c r="AJ21" i="4"/>
  <c r="AJ15" i="4"/>
  <c r="I32" i="12"/>
  <c r="C12" i="3"/>
  <c r="H8" i="15"/>
  <c r="J8" i="15" s="1"/>
  <c r="I10" i="15"/>
  <c r="I8" i="15"/>
  <c r="H10" i="15"/>
  <c r="J10" i="15" s="1"/>
  <c r="K24" i="5"/>
  <c r="G24" i="5"/>
  <c r="G18" i="4"/>
  <c r="H18" i="4" s="1"/>
  <c r="R18" i="4" s="1"/>
  <c r="G22" i="4"/>
  <c r="H22" i="4" s="1"/>
  <c r="R22" i="4" s="1"/>
  <c r="G17" i="4"/>
  <c r="H17" i="4" s="1"/>
  <c r="R17" i="4" s="1"/>
  <c r="G20" i="4"/>
  <c r="H20" i="4" s="1"/>
  <c r="R20" i="4" s="1"/>
  <c r="G19" i="4"/>
  <c r="H19" i="4" s="1"/>
  <c r="R19" i="4" s="1"/>
  <c r="G21" i="4"/>
  <c r="H21" i="4" s="1"/>
  <c r="R21" i="4" s="1"/>
  <c r="E26" i="4"/>
  <c r="F26" i="4"/>
  <c r="D26" i="4"/>
  <c r="G12" i="4"/>
  <c r="H12" i="4" s="1"/>
  <c r="R12" i="4" s="1"/>
  <c r="G11" i="4"/>
  <c r="H11" i="4" s="1"/>
  <c r="R11" i="4" s="1"/>
  <c r="G7" i="4"/>
  <c r="G16" i="4"/>
  <c r="H16" i="4" s="1"/>
  <c r="R16" i="4" s="1"/>
  <c r="G15" i="4"/>
  <c r="H15" i="4" s="1"/>
  <c r="R15" i="4" s="1"/>
  <c r="C26" i="4"/>
  <c r="C5" i="2" s="1"/>
  <c r="G14" i="4"/>
  <c r="H14" i="4" s="1"/>
  <c r="R14" i="4" s="1"/>
  <c r="G13" i="4"/>
  <c r="H13" i="4" s="1"/>
  <c r="R13" i="4" s="1"/>
  <c r="J26" i="4"/>
  <c r="G10" i="4"/>
  <c r="H10" i="4" s="1"/>
  <c r="R10" i="4" s="1"/>
  <c r="G8" i="4"/>
  <c r="H8" i="4" s="1"/>
  <c r="R8" i="4" s="1"/>
  <c r="K26" i="4"/>
  <c r="L24" i="5"/>
  <c r="G9" i="4"/>
  <c r="H9" i="4" s="1"/>
  <c r="R9" i="4" s="1"/>
  <c r="D11" i="12"/>
  <c r="E28" i="5" s="1"/>
  <c r="AJ14" i="4"/>
  <c r="AJ12" i="4"/>
  <c r="AJ20" i="4"/>
  <c r="I30" i="12"/>
  <c r="AJ22" i="4" l="1"/>
  <c r="D27" i="12"/>
  <c r="E29" i="5" s="1"/>
  <c r="AJ16" i="4"/>
  <c r="AJ13" i="4"/>
  <c r="AJ8" i="4"/>
  <c r="AJ25" i="4"/>
  <c r="AJ10" i="4"/>
  <c r="AJ18" i="4"/>
  <c r="AJ17" i="4"/>
  <c r="N25" i="4"/>
  <c r="O25" i="4" s="1"/>
  <c r="N24" i="4"/>
  <c r="O24" i="4" s="1"/>
  <c r="N23" i="4"/>
  <c r="O23" i="4" s="1"/>
  <c r="M8" i="4"/>
  <c r="U8" i="4" s="1"/>
  <c r="I10" i="4"/>
  <c r="S10" i="4" s="1"/>
  <c r="I13" i="4"/>
  <c r="S13" i="4" s="1"/>
  <c r="L14" i="4"/>
  <c r="T14" i="4" s="1"/>
  <c r="I18" i="4"/>
  <c r="S18" i="4" s="1"/>
  <c r="AJ7" i="4"/>
  <c r="AJ9" i="4"/>
  <c r="AJ11" i="4"/>
  <c r="L21" i="4"/>
  <c r="T21" i="4" s="1"/>
  <c r="L20" i="4"/>
  <c r="T20" i="4" s="1"/>
  <c r="L22" i="4"/>
  <c r="T22" i="4" s="1"/>
  <c r="L18" i="4"/>
  <c r="T18" i="4" s="1"/>
  <c r="M18" i="4"/>
  <c r="U18" i="4" s="1"/>
  <c r="L19" i="4"/>
  <c r="T19" i="4" s="1"/>
  <c r="M22" i="4"/>
  <c r="U22" i="4" s="1"/>
  <c r="I22" i="4"/>
  <c r="S22" i="4" s="1"/>
  <c r="I17" i="4"/>
  <c r="S17" i="4" s="1"/>
  <c r="L17" i="4"/>
  <c r="T17" i="4" s="1"/>
  <c r="M17" i="4"/>
  <c r="U17" i="4" s="1"/>
  <c r="I20" i="4"/>
  <c r="S20" i="4" s="1"/>
  <c r="I21" i="4"/>
  <c r="S21" i="4" s="1"/>
  <c r="M21" i="4"/>
  <c r="U21" i="4" s="1"/>
  <c r="I19" i="4"/>
  <c r="S19" i="4" s="1"/>
  <c r="M20" i="4"/>
  <c r="U20" i="4" s="1"/>
  <c r="M19" i="4"/>
  <c r="U19" i="4" s="1"/>
  <c r="H7" i="4"/>
  <c r="G26" i="4"/>
  <c r="I14" i="4"/>
  <c r="S14" i="4" s="1"/>
  <c r="L11" i="4"/>
  <c r="T11" i="4" s="1"/>
  <c r="M11" i="4"/>
  <c r="U11" i="4" s="1"/>
  <c r="M14" i="4"/>
  <c r="U14" i="4" s="1"/>
  <c r="L13" i="4"/>
  <c r="T13" i="4" s="1"/>
  <c r="I12" i="4"/>
  <c r="S12" i="4" s="1"/>
  <c r="I11" i="4"/>
  <c r="S11" i="4" s="1"/>
  <c r="I16" i="4"/>
  <c r="S16" i="4" s="1"/>
  <c r="L16" i="4"/>
  <c r="T16" i="4" s="1"/>
  <c r="M12" i="4"/>
  <c r="U12" i="4" s="1"/>
  <c r="I15" i="4"/>
  <c r="S15" i="4" s="1"/>
  <c r="M15" i="4"/>
  <c r="U15" i="4" s="1"/>
  <c r="C6" i="2"/>
  <c r="L15" i="4"/>
  <c r="T15" i="4" s="1"/>
  <c r="M13" i="4"/>
  <c r="U13" i="4" s="1"/>
  <c r="L12" i="4"/>
  <c r="T12" i="4" s="1"/>
  <c r="L10" i="4"/>
  <c r="T10" i="4" s="1"/>
  <c r="M16" i="4"/>
  <c r="U16" i="4" s="1"/>
  <c r="I8" i="4"/>
  <c r="S8" i="4" s="1"/>
  <c r="M10" i="4"/>
  <c r="U10" i="4" s="1"/>
  <c r="L8" i="4"/>
  <c r="T8" i="4" s="1"/>
  <c r="X26" i="4"/>
  <c r="I9" i="4"/>
  <c r="S9" i="4" s="1"/>
  <c r="M9" i="4"/>
  <c r="U9" i="4" s="1"/>
  <c r="L9" i="4"/>
  <c r="T9" i="4" s="1"/>
  <c r="W26" i="4"/>
  <c r="C33" i="5"/>
  <c r="Y23" i="4" l="1"/>
  <c r="Y25" i="4"/>
  <c r="Y24" i="4"/>
  <c r="H26" i="4"/>
  <c r="R7" i="4"/>
  <c r="R26" i="4" s="1"/>
  <c r="N18" i="4"/>
  <c r="O18" i="4" s="1"/>
  <c r="I7" i="4"/>
  <c r="S7" i="4" s="1"/>
  <c r="N22" i="4"/>
  <c r="O22" i="4" s="1"/>
  <c r="N17" i="4"/>
  <c r="O17" i="4" s="1"/>
  <c r="N19" i="4"/>
  <c r="O19" i="4" s="1"/>
  <c r="M7" i="4"/>
  <c r="L7" i="4"/>
  <c r="T7" i="4" s="1"/>
  <c r="N20" i="4"/>
  <c r="O20" i="4" s="1"/>
  <c r="N21" i="4"/>
  <c r="O21" i="4" s="1"/>
  <c r="N14" i="4"/>
  <c r="O14" i="4" s="1"/>
  <c r="N11" i="4"/>
  <c r="O11" i="4" s="1"/>
  <c r="N13" i="4"/>
  <c r="O13" i="4" s="1"/>
  <c r="N12" i="4"/>
  <c r="O12" i="4" s="1"/>
  <c r="N15" i="4"/>
  <c r="O15" i="4" s="1"/>
  <c r="N16" i="4"/>
  <c r="O16" i="4" s="1"/>
  <c r="N10" i="4"/>
  <c r="O10" i="4" s="1"/>
  <c r="N8" i="4"/>
  <c r="O8" i="4" s="1"/>
  <c r="N9" i="4"/>
  <c r="O9" i="4" s="1"/>
  <c r="Y8" i="4" l="1"/>
  <c r="M26" i="4"/>
  <c r="U7" i="4"/>
  <c r="U26" i="4" s="1"/>
  <c r="I26" i="4"/>
  <c r="Y18" i="4"/>
  <c r="Y14" i="4"/>
  <c r="Y9" i="4"/>
  <c r="Y10" i="4"/>
  <c r="Y16" i="4"/>
  <c r="Y21" i="4"/>
  <c r="Y20" i="4"/>
  <c r="Y15" i="4"/>
  <c r="Y12" i="4"/>
  <c r="Y13" i="4"/>
  <c r="Y19" i="4"/>
  <c r="Y17" i="4"/>
  <c r="Y11" i="4"/>
  <c r="Y22" i="4"/>
  <c r="N7" i="4"/>
  <c r="O7" i="4" s="1"/>
  <c r="T26" i="4"/>
  <c r="L26" i="4"/>
  <c r="V26" i="4"/>
  <c r="S26" i="4"/>
  <c r="Y7" i="4" l="1"/>
  <c r="Y26" i="4" s="1"/>
  <c r="O26" i="4"/>
  <c r="K8" i="15"/>
  <c r="K10" i="15"/>
  <c r="N26" i="4"/>
  <c r="AC5" i="4" s="1"/>
  <c r="Z24" i="4" l="1"/>
  <c r="AD24" i="4" s="1"/>
  <c r="AA24" i="4"/>
  <c r="AE24" i="4" s="1"/>
  <c r="AL24" i="4" s="1"/>
  <c r="AB24" i="4"/>
  <c r="AF24" i="4" s="1"/>
  <c r="AM24" i="4" s="1"/>
  <c r="AC24" i="4"/>
  <c r="AG24" i="4" s="1"/>
  <c r="AN24" i="4" s="1"/>
  <c r="Z23" i="4"/>
  <c r="AD23" i="4" s="1"/>
  <c r="AA23" i="4"/>
  <c r="AE23" i="4" s="1"/>
  <c r="AL23" i="4" s="1"/>
  <c r="AC23" i="4"/>
  <c r="AG23" i="4" s="1"/>
  <c r="AN23" i="4" s="1"/>
  <c r="AB23" i="4"/>
  <c r="AF23" i="4" s="1"/>
  <c r="AM23" i="4" s="1"/>
  <c r="Z25" i="4"/>
  <c r="AD25" i="4" s="1"/>
  <c r="AA25" i="4"/>
  <c r="AE25" i="4" s="1"/>
  <c r="AL25" i="4" s="1"/>
  <c r="AB25" i="4"/>
  <c r="AF25" i="4" s="1"/>
  <c r="AM25" i="4" s="1"/>
  <c r="AC25" i="4"/>
  <c r="AG25" i="4" s="1"/>
  <c r="AN25" i="4" s="1"/>
  <c r="C34" i="5"/>
  <c r="C35" i="5" s="1"/>
  <c r="AK23" i="4" l="1"/>
  <c r="D21" i="15"/>
  <c r="AK25" i="4"/>
  <c r="D23" i="15"/>
  <c r="D22" i="15"/>
  <c r="AK24" i="4"/>
  <c r="AA8" i="4"/>
  <c r="AE8" i="4" s="1"/>
  <c r="AL8" i="4" s="1"/>
  <c r="AA12" i="4"/>
  <c r="AE12" i="4" s="1"/>
  <c r="AL12" i="4" s="1"/>
  <c r="AA16" i="4"/>
  <c r="AE16" i="4" s="1"/>
  <c r="AL16" i="4" s="1"/>
  <c r="AA20" i="4"/>
  <c r="AE20" i="4" s="1"/>
  <c r="AL20" i="4" s="1"/>
  <c r="AC7" i="4"/>
  <c r="AG7" i="4" s="1"/>
  <c r="Z17" i="4"/>
  <c r="AD17" i="4" s="1"/>
  <c r="Z16" i="4"/>
  <c r="AD16" i="4" s="1"/>
  <c r="AB8" i="4"/>
  <c r="AF8" i="4" s="1"/>
  <c r="AM8" i="4" s="1"/>
  <c r="AB12" i="4"/>
  <c r="AF12" i="4" s="1"/>
  <c r="AM12" i="4" s="1"/>
  <c r="AB16" i="4"/>
  <c r="AF16" i="4" s="1"/>
  <c r="AM16" i="4" s="1"/>
  <c r="AB20" i="4"/>
  <c r="AF20" i="4" s="1"/>
  <c r="AM20" i="4" s="1"/>
  <c r="AB7" i="4"/>
  <c r="Z18" i="4"/>
  <c r="AD18" i="4" s="1"/>
  <c r="AC8" i="4"/>
  <c r="AG8" i="4" s="1"/>
  <c r="AN8" i="4" s="1"/>
  <c r="AC12" i="4"/>
  <c r="AG12" i="4" s="1"/>
  <c r="AN12" i="4" s="1"/>
  <c r="AC16" i="4"/>
  <c r="AG16" i="4" s="1"/>
  <c r="AN16" i="4" s="1"/>
  <c r="AC20" i="4"/>
  <c r="AG20" i="4" s="1"/>
  <c r="AN20" i="4" s="1"/>
  <c r="AA7" i="4"/>
  <c r="AE7" i="4" s="1"/>
  <c r="Z19" i="4"/>
  <c r="AD19" i="4" s="1"/>
  <c r="AC19" i="4"/>
  <c r="AG19" i="4" s="1"/>
  <c r="AN19" i="4" s="1"/>
  <c r="AA9" i="4"/>
  <c r="AE9" i="4" s="1"/>
  <c r="AL9" i="4" s="1"/>
  <c r="AA13" i="4"/>
  <c r="AE13" i="4" s="1"/>
  <c r="AL13" i="4" s="1"/>
  <c r="AA17" i="4"/>
  <c r="AE17" i="4" s="1"/>
  <c r="AL17" i="4" s="1"/>
  <c r="AA21" i="4"/>
  <c r="AE21" i="4" s="1"/>
  <c r="AL21" i="4" s="1"/>
  <c r="Z8" i="4"/>
  <c r="AD8" i="4" s="1"/>
  <c r="Z20" i="4"/>
  <c r="AD20" i="4" s="1"/>
  <c r="AB9" i="4"/>
  <c r="AF9" i="4" s="1"/>
  <c r="AM9" i="4" s="1"/>
  <c r="AB13" i="4"/>
  <c r="AF13" i="4" s="1"/>
  <c r="AM13" i="4" s="1"/>
  <c r="AB17" i="4"/>
  <c r="AF17" i="4" s="1"/>
  <c r="AM17" i="4" s="1"/>
  <c r="AB21" i="4"/>
  <c r="AF21" i="4" s="1"/>
  <c r="AM21" i="4" s="1"/>
  <c r="Z9" i="4"/>
  <c r="AD9" i="4" s="1"/>
  <c r="Z21" i="4"/>
  <c r="AD21" i="4" s="1"/>
  <c r="AC9" i="4"/>
  <c r="AG9" i="4" s="1"/>
  <c r="AN9" i="4" s="1"/>
  <c r="AC13" i="4"/>
  <c r="AG13" i="4" s="1"/>
  <c r="AN13" i="4" s="1"/>
  <c r="AC17" i="4"/>
  <c r="AG17" i="4" s="1"/>
  <c r="AN17" i="4" s="1"/>
  <c r="AC21" i="4"/>
  <c r="AG21" i="4" s="1"/>
  <c r="AN21" i="4" s="1"/>
  <c r="Z10" i="4"/>
  <c r="AD10" i="4" s="1"/>
  <c r="Z22" i="4"/>
  <c r="AD22" i="4" s="1"/>
  <c r="AA10" i="4"/>
  <c r="AE10" i="4" s="1"/>
  <c r="AL10" i="4" s="1"/>
  <c r="AA14" i="4"/>
  <c r="AE14" i="4" s="1"/>
  <c r="AL14" i="4" s="1"/>
  <c r="AA18" i="4"/>
  <c r="AE18" i="4" s="1"/>
  <c r="AL18" i="4" s="1"/>
  <c r="AA22" i="4"/>
  <c r="AE22" i="4" s="1"/>
  <c r="AL22" i="4" s="1"/>
  <c r="Z11" i="4"/>
  <c r="AD11" i="4" s="1"/>
  <c r="AC11" i="4"/>
  <c r="AG11" i="4" s="1"/>
  <c r="AN11" i="4" s="1"/>
  <c r="AB10" i="4"/>
  <c r="AF10" i="4" s="1"/>
  <c r="AM10" i="4" s="1"/>
  <c r="AB14" i="4"/>
  <c r="AF14" i="4" s="1"/>
  <c r="AM14" i="4" s="1"/>
  <c r="AB18" i="4"/>
  <c r="AF18" i="4" s="1"/>
  <c r="AM18" i="4" s="1"/>
  <c r="AB22" i="4"/>
  <c r="AF22" i="4" s="1"/>
  <c r="AM22" i="4" s="1"/>
  <c r="Z12" i="4"/>
  <c r="AD12" i="4" s="1"/>
  <c r="Z7" i="4"/>
  <c r="AD7" i="4" s="1"/>
  <c r="AC10" i="4"/>
  <c r="AG10" i="4" s="1"/>
  <c r="AN10" i="4" s="1"/>
  <c r="AC14" i="4"/>
  <c r="AG14" i="4" s="1"/>
  <c r="AN14" i="4" s="1"/>
  <c r="AC18" i="4"/>
  <c r="AG18" i="4" s="1"/>
  <c r="AN18" i="4" s="1"/>
  <c r="AC22" i="4"/>
  <c r="AG22" i="4" s="1"/>
  <c r="AN22" i="4" s="1"/>
  <c r="Z13" i="4"/>
  <c r="AD13" i="4" s="1"/>
  <c r="AC15" i="4"/>
  <c r="AG15" i="4" s="1"/>
  <c r="AN15" i="4" s="1"/>
  <c r="AA11" i="4"/>
  <c r="AE11" i="4" s="1"/>
  <c r="AL11" i="4" s="1"/>
  <c r="AA15" i="4"/>
  <c r="AE15" i="4" s="1"/>
  <c r="AL15" i="4" s="1"/>
  <c r="AA19" i="4"/>
  <c r="AE19" i="4" s="1"/>
  <c r="AL19" i="4" s="1"/>
  <c r="Z14" i="4"/>
  <c r="AD14" i="4" s="1"/>
  <c r="AB11" i="4"/>
  <c r="AF11" i="4" s="1"/>
  <c r="AM11" i="4" s="1"/>
  <c r="AB15" i="4"/>
  <c r="AF15" i="4" s="1"/>
  <c r="AM15" i="4" s="1"/>
  <c r="AB19" i="4"/>
  <c r="AF19" i="4" s="1"/>
  <c r="AM19" i="4" s="1"/>
  <c r="Z15" i="4"/>
  <c r="AD15" i="4" s="1"/>
  <c r="D13" i="15" l="1"/>
  <c r="AK15" i="4"/>
  <c r="AK22" i="4"/>
  <c r="D20" i="15"/>
  <c r="AK12" i="4"/>
  <c r="D10" i="15"/>
  <c r="AK10" i="4"/>
  <c r="D8" i="15"/>
  <c r="AK8" i="4"/>
  <c r="D6" i="15"/>
  <c r="D16" i="15"/>
  <c r="AK18" i="4"/>
  <c r="AK14" i="4"/>
  <c r="D12" i="15"/>
  <c r="AO24" i="4"/>
  <c r="C27" i="2" s="1"/>
  <c r="E22" i="15"/>
  <c r="AK17" i="4"/>
  <c r="D15" i="15"/>
  <c r="AO25" i="4"/>
  <c r="C28" i="2" s="1"/>
  <c r="E23" i="15"/>
  <c r="D18" i="15"/>
  <c r="AK20" i="4"/>
  <c r="AK21" i="4"/>
  <c r="D19" i="15"/>
  <c r="AK13" i="4"/>
  <c r="D11" i="15"/>
  <c r="AK11" i="4"/>
  <c r="D9" i="15"/>
  <c r="AK9" i="4"/>
  <c r="D7" i="15"/>
  <c r="AK19" i="4"/>
  <c r="D17" i="15"/>
  <c r="AK16" i="4"/>
  <c r="D14" i="15"/>
  <c r="AO23" i="4"/>
  <c r="E21" i="15"/>
  <c r="H6" i="15"/>
  <c r="J6" i="15" s="1"/>
  <c r="I9" i="15"/>
  <c r="H9" i="15"/>
  <c r="J9" i="15" s="1"/>
  <c r="I6" i="15"/>
  <c r="AB26" i="4"/>
  <c r="AF7" i="4"/>
  <c r="AF26" i="4" s="1"/>
  <c r="AA26" i="4"/>
  <c r="AC26" i="4"/>
  <c r="Z26" i="4"/>
  <c r="AG26" i="4"/>
  <c r="AN7" i="4"/>
  <c r="AN26" i="4" s="1"/>
  <c r="AW7" i="4" s="1"/>
  <c r="AW8" i="4" s="1"/>
  <c r="AD26" i="4"/>
  <c r="AK7" i="4"/>
  <c r="AE26" i="4"/>
  <c r="AL7" i="4"/>
  <c r="AL26" i="4" s="1"/>
  <c r="AU7" i="4" s="1"/>
  <c r="AU8" i="4" s="1"/>
  <c r="AP23" i="4" l="1"/>
  <c r="AQ23" i="4" s="1"/>
  <c r="E19" i="15"/>
  <c r="AO21" i="4"/>
  <c r="C24" i="2" s="1"/>
  <c r="AO16" i="4"/>
  <c r="E14" i="15"/>
  <c r="AO20" i="4"/>
  <c r="C23" i="2" s="1"/>
  <c r="E18" i="15"/>
  <c r="AO19" i="4"/>
  <c r="C22" i="2" s="1"/>
  <c r="E17" i="15"/>
  <c r="AP25" i="4"/>
  <c r="AQ25" i="4" s="1"/>
  <c r="E8" i="15"/>
  <c r="AO10" i="4"/>
  <c r="E7" i="15"/>
  <c r="AO9" i="4"/>
  <c r="AO17" i="4"/>
  <c r="C20" i="2" s="1"/>
  <c r="E15" i="15"/>
  <c r="E10" i="15"/>
  <c r="AO12" i="4"/>
  <c r="AO8" i="4"/>
  <c r="E6" i="15"/>
  <c r="AO18" i="4"/>
  <c r="C21" i="2" s="1"/>
  <c r="E16" i="15"/>
  <c r="C26" i="2"/>
  <c r="E9" i="15"/>
  <c r="AO11" i="4"/>
  <c r="AP24" i="4"/>
  <c r="AQ24" i="4" s="1"/>
  <c r="E20" i="15"/>
  <c r="AO22" i="4"/>
  <c r="C25" i="2" s="1"/>
  <c r="AO15" i="4"/>
  <c r="E13" i="15"/>
  <c r="AO13" i="4"/>
  <c r="E11" i="15"/>
  <c r="AO14" i="4"/>
  <c r="E12" i="15"/>
  <c r="D28" i="2"/>
  <c r="E28" i="2" s="1"/>
  <c r="F28" i="2"/>
  <c r="H5" i="15"/>
  <c r="D5" i="15"/>
  <c r="H7" i="15" s="1"/>
  <c r="J7" i="15" s="1"/>
  <c r="AM7" i="4"/>
  <c r="AM26" i="4" s="1"/>
  <c r="AV7" i="4" s="1"/>
  <c r="AV8" i="4" s="1"/>
  <c r="AK26" i="4"/>
  <c r="I5" i="15" l="1"/>
  <c r="AP18" i="4"/>
  <c r="AQ18" i="4" s="1"/>
  <c r="AP15" i="4"/>
  <c r="AQ15" i="4" s="1"/>
  <c r="AP12" i="4"/>
  <c r="AQ12" i="4" s="1"/>
  <c r="AP13" i="4"/>
  <c r="AQ13" i="4" s="1"/>
  <c r="AP22" i="4"/>
  <c r="AQ22" i="4" s="1"/>
  <c r="AP20" i="4"/>
  <c r="AQ20" i="4" s="1"/>
  <c r="AP14" i="4"/>
  <c r="AQ14" i="4" s="1"/>
  <c r="AP19" i="4"/>
  <c r="AQ19" i="4" s="1"/>
  <c r="AP16" i="4"/>
  <c r="AQ16" i="4" s="1"/>
  <c r="AP17" i="4"/>
  <c r="AQ17" i="4" s="1"/>
  <c r="AP9" i="4"/>
  <c r="AQ9" i="4" s="1"/>
  <c r="AP21" i="4"/>
  <c r="AQ21" i="4" s="1"/>
  <c r="AP8" i="4"/>
  <c r="AQ8" i="4" s="1"/>
  <c r="AP11" i="4"/>
  <c r="AQ11" i="4" s="1"/>
  <c r="AP10" i="4"/>
  <c r="AQ10" i="4" s="1"/>
  <c r="C12" i="2"/>
  <c r="D12" i="2" s="1"/>
  <c r="E12" i="2" s="1"/>
  <c r="C13" i="2"/>
  <c r="D13" i="2" s="1"/>
  <c r="E13" i="2" s="1"/>
  <c r="C18" i="2"/>
  <c r="F18" i="2" s="1"/>
  <c r="C17" i="2"/>
  <c r="D17" i="2" s="1"/>
  <c r="E17" i="2" s="1"/>
  <c r="C14" i="2"/>
  <c r="F14" i="2" s="1"/>
  <c r="C16" i="2"/>
  <c r="F16" i="2" s="1"/>
  <c r="C19" i="2"/>
  <c r="F19" i="2" s="1"/>
  <c r="C15" i="2"/>
  <c r="D15" i="2" s="1"/>
  <c r="E15" i="2" s="1"/>
  <c r="G28" i="2"/>
  <c r="H28" i="2" s="1"/>
  <c r="C11" i="2"/>
  <c r="D11" i="2" s="1"/>
  <c r="E11" i="2" s="1"/>
  <c r="H11" i="15"/>
  <c r="J11" i="15" s="1"/>
  <c r="D24" i="15"/>
  <c r="K9" i="15"/>
  <c r="E5" i="15"/>
  <c r="I7" i="15" s="1"/>
  <c r="J5" i="15"/>
  <c r="K6" i="15"/>
  <c r="D21" i="2"/>
  <c r="E21" i="2" s="1"/>
  <c r="F21" i="2"/>
  <c r="D23" i="2"/>
  <c r="E23" i="2" s="1"/>
  <c r="F23" i="2"/>
  <c r="D25" i="2"/>
  <c r="E25" i="2" s="1"/>
  <c r="F25" i="2"/>
  <c r="D24" i="2"/>
  <c r="E24" i="2" s="1"/>
  <c r="F24" i="2"/>
  <c r="AO7" i="4"/>
  <c r="AP7" i="4" s="1"/>
  <c r="AT7" i="4"/>
  <c r="AT8" i="4" s="1"/>
  <c r="AT10" i="4" s="1"/>
  <c r="F12" i="2" l="1"/>
  <c r="G12" i="2" s="1"/>
  <c r="H12" i="2" s="1"/>
  <c r="F15" i="2"/>
  <c r="G15" i="2" s="1"/>
  <c r="H15" i="2" s="1"/>
  <c r="D18" i="2"/>
  <c r="E18" i="2" s="1"/>
  <c r="F13" i="2"/>
  <c r="G13" i="2" s="1"/>
  <c r="H13" i="2" s="1"/>
  <c r="D14" i="2"/>
  <c r="E14" i="2" s="1"/>
  <c r="F11" i="2"/>
  <c r="G11" i="2" s="1"/>
  <c r="H11" i="2" s="1"/>
  <c r="D19" i="2"/>
  <c r="E19" i="2" s="1"/>
  <c r="G16" i="2"/>
  <c r="H16" i="2" s="1"/>
  <c r="G19" i="2"/>
  <c r="H19" i="2" s="1"/>
  <c r="G14" i="2"/>
  <c r="H14" i="2" s="1"/>
  <c r="G18" i="2"/>
  <c r="H18" i="2" s="1"/>
  <c r="D16" i="2"/>
  <c r="E16" i="2" s="1"/>
  <c r="F17" i="2"/>
  <c r="H13" i="15"/>
  <c r="L5" i="15" s="1"/>
  <c r="I11" i="15"/>
  <c r="K11" i="15" s="1"/>
  <c r="E24" i="15"/>
  <c r="J13" i="15"/>
  <c r="K5" i="15"/>
  <c r="G24" i="2"/>
  <c r="H24" i="2" s="1"/>
  <c r="G21" i="2"/>
  <c r="H21" i="2" s="1"/>
  <c r="G25" i="2"/>
  <c r="H25" i="2" s="1"/>
  <c r="G23" i="2"/>
  <c r="H23" i="2" s="1"/>
  <c r="D26" i="2"/>
  <c r="E26" i="2" s="1"/>
  <c r="F26" i="2"/>
  <c r="F20" i="2"/>
  <c r="D20" i="2"/>
  <c r="E20" i="2" s="1"/>
  <c r="D22" i="2"/>
  <c r="E22" i="2" s="1"/>
  <c r="F22" i="2"/>
  <c r="AP26" i="4"/>
  <c r="AO26" i="4"/>
  <c r="C10" i="2"/>
  <c r="C29" i="2" s="1"/>
  <c r="AQ7" i="4"/>
  <c r="AQ26" i="4" s="1"/>
  <c r="AT11" i="4"/>
  <c r="D5" i="2"/>
  <c r="AT12" i="4"/>
  <c r="G17" i="2" l="1"/>
  <c r="H17" i="2" s="1"/>
  <c r="D27" i="2"/>
  <c r="E27" i="2" s="1"/>
  <c r="F27" i="2"/>
  <c r="I13" i="15"/>
  <c r="M11" i="15" s="1"/>
  <c r="L9" i="15"/>
  <c r="L10" i="15"/>
  <c r="L7" i="15"/>
  <c r="L11" i="15"/>
  <c r="L6" i="15"/>
  <c r="L8" i="15"/>
  <c r="K7" i="15"/>
  <c r="K13" i="15" s="1"/>
  <c r="G22" i="2"/>
  <c r="H22" i="2" s="1"/>
  <c r="G26" i="2"/>
  <c r="H26" i="2" s="1"/>
  <c r="G20" i="2"/>
  <c r="H20" i="2" s="1"/>
  <c r="D10" i="2"/>
  <c r="F10" i="2"/>
  <c r="E5" i="2"/>
  <c r="E6" i="2" s="1"/>
  <c r="I20" i="2" s="1"/>
  <c r="D6" i="2"/>
  <c r="AT13" i="4"/>
  <c r="AT15" i="4" s="1"/>
  <c r="F5" i="2"/>
  <c r="H5" i="2" s="1"/>
  <c r="AT14" i="4"/>
  <c r="F29" i="2" l="1"/>
  <c r="D29" i="2"/>
  <c r="I27" i="2"/>
  <c r="I17" i="2"/>
  <c r="I22" i="2"/>
  <c r="I28" i="2"/>
  <c r="I16" i="2"/>
  <c r="I11" i="2"/>
  <c r="I23" i="2"/>
  <c r="I19" i="2"/>
  <c r="I25" i="2"/>
  <c r="I24" i="2"/>
  <c r="I15" i="2"/>
  <c r="I14" i="2"/>
  <c r="I12" i="2"/>
  <c r="I18" i="2"/>
  <c r="I21" i="2"/>
  <c r="I13" i="2"/>
  <c r="I26" i="2"/>
  <c r="G27" i="2"/>
  <c r="H27" i="2" s="1"/>
  <c r="H6" i="2"/>
  <c r="I5" i="2"/>
  <c r="I6" i="2" s="1"/>
  <c r="M7" i="15"/>
  <c r="L13" i="15"/>
  <c r="M9" i="15"/>
  <c r="M6" i="15"/>
  <c r="M10" i="15"/>
  <c r="M8" i="15"/>
  <c r="M5" i="15"/>
  <c r="E10" i="2"/>
  <c r="E29" i="2" s="1"/>
  <c r="G10" i="2"/>
  <c r="I10" i="2"/>
  <c r="G5" i="2"/>
  <c r="G6" i="2" s="1"/>
  <c r="F6" i="2"/>
  <c r="G29" i="2" l="1"/>
  <c r="I29" i="2"/>
  <c r="F11" i="1"/>
  <c r="G11" i="1" s="1"/>
  <c r="M13" i="15"/>
  <c r="H10" i="2"/>
  <c r="H29" i="2" s="1"/>
</calcChain>
</file>

<file path=xl/sharedStrings.xml><?xml version="1.0" encoding="utf-8"?>
<sst xmlns="http://schemas.openxmlformats.org/spreadsheetml/2006/main" count="647" uniqueCount="319">
  <si>
    <t>PLANILHA DETALHADA DE FORMAÇÃO DE PREÇO</t>
  </si>
  <si>
    <t>POLO X</t>
  </si>
  <si>
    <t>DESONERADA</t>
  </si>
  <si>
    <t>ITEM</t>
  </si>
  <si>
    <t>DESCRIÇÃO DO SERVIÇO</t>
  </si>
  <si>
    <t>UN.</t>
  </si>
  <si>
    <t>QTE.</t>
  </si>
  <si>
    <t>PREÇO UNITÁRIO (R$)</t>
  </si>
  <si>
    <t>PREÇO ANUAL (R$)</t>
  </si>
  <si>
    <t>Serviço de manutenção predial preventiva e corretiva por demanda, com fornecimento de materiais, peças e componentes, nos imóveis relacionados no Polo Regional X.</t>
  </si>
  <si>
    <t>Mês</t>
  </si>
  <si>
    <t>BASE</t>
  </si>
  <si>
    <t>ÁREA TOTAL (m²)</t>
  </si>
  <si>
    <t>CUSTO MÉDIO MENSAL (PREVENTIVA)</t>
  </si>
  <si>
    <t>CUSTO ANUAL (PREVENTIVA)</t>
  </si>
  <si>
    <t>CUSTO MÉDIO MENSAL (CORRETIVA)</t>
  </si>
  <si>
    <t>CUSTO ANUAL (CORRETIVA)</t>
  </si>
  <si>
    <t>CUSTO MÉDIO MENSAL MANUTENÇÃO</t>
  </si>
  <si>
    <t>CUSTO ANUAL MANUTENÇÃO</t>
  </si>
  <si>
    <t>IJUÍ</t>
  </si>
  <si>
    <t>Custo Médio Mensal</t>
  </si>
  <si>
    <t>Custo Anual</t>
  </si>
  <si>
    <t>Percentual por unidade</t>
  </si>
  <si>
    <t>Preventiva</t>
  </si>
  <si>
    <t>Corretiva</t>
  </si>
  <si>
    <t>Total</t>
  </si>
  <si>
    <t>%</t>
  </si>
  <si>
    <t>Valores SINAPI*</t>
  </si>
  <si>
    <t>Engenheiro Civil (ref. SINAPI/90778)</t>
  </si>
  <si>
    <t>Engenheiro eletricista (ref. SINAPI/91677)</t>
  </si>
  <si>
    <t>Auxiliar Técnico (ref. SINAPI/88255)</t>
  </si>
  <si>
    <t>Quantidade de horas/mês</t>
  </si>
  <si>
    <t>Custo mensal</t>
  </si>
  <si>
    <t>Custo anual</t>
  </si>
  <si>
    <t>CUSTO POR PERÍODO (Sem BDI)</t>
  </si>
  <si>
    <t>Custo mensal da equipe</t>
  </si>
  <si>
    <t>Custo anual da equipe</t>
  </si>
  <si>
    <t>UNIDADE</t>
  </si>
  <si>
    <t>Área (m²)</t>
  </si>
  <si>
    <t>Horas</t>
  </si>
  <si>
    <t>GEX / APS</t>
  </si>
  <si>
    <t>Custo da equipe em execução por rotina</t>
  </si>
  <si>
    <t>Custos mensais</t>
  </si>
  <si>
    <t>Custo Equipe técnica</t>
  </si>
  <si>
    <t>Custo total por rotina (SEM BDI)</t>
  </si>
  <si>
    <t>Custo total por rotina (COM BDI)</t>
  </si>
  <si>
    <t>Custo Mensal de Manutenção por unidade</t>
  </si>
  <si>
    <t>Uso constante</t>
  </si>
  <si>
    <t>Uso esporádico</t>
  </si>
  <si>
    <t>Ociosa</t>
  </si>
  <si>
    <t>Área corrigida</t>
  </si>
  <si>
    <t>horas p visita mensal (h)</t>
  </si>
  <si>
    <t>horas p visita trimestral (h)</t>
  </si>
  <si>
    <t>Possui hidrante?</t>
  </si>
  <si>
    <t>Possui subestação?</t>
  </si>
  <si>
    <t>horas p visita semestral(h)</t>
  </si>
  <si>
    <t>horas p visita anual(h)</t>
  </si>
  <si>
    <t>Total horas p/ ano</t>
  </si>
  <si>
    <t>Mensal</t>
  </si>
  <si>
    <t>Trimestral</t>
  </si>
  <si>
    <t>Semestral</t>
  </si>
  <si>
    <t>Anual</t>
  </si>
  <si>
    <t>Equipe em desl.</t>
  </si>
  <si>
    <t>Pernoite</t>
  </si>
  <si>
    <t>Pedágio</t>
  </si>
  <si>
    <t>Veículo</t>
  </si>
  <si>
    <t>Total de horas de execução do Polo:</t>
  </si>
  <si>
    <t>BDI</t>
  </si>
  <si>
    <t>Custo Médio Mensal Preventiva</t>
  </si>
  <si>
    <t>Custo Médio Mensal Corretiva</t>
  </si>
  <si>
    <t>Custo Médio Mensal Manunteção</t>
  </si>
  <si>
    <t>Custos / Rotinas</t>
  </si>
  <si>
    <t>coeficiente</t>
  </si>
  <si>
    <t>12 rotinas</t>
  </si>
  <si>
    <t>4 rotinas</t>
  </si>
  <si>
    <t>2 rotinas</t>
  </si>
  <si>
    <t>1 rotina</t>
  </si>
  <si>
    <t>APS Cerro Largo</t>
  </si>
  <si>
    <t>Custo por tipo de rotina</t>
  </si>
  <si>
    <t>APS Frederico Westphalen</t>
  </si>
  <si>
    <t>Custo Anual por tipo de rotina</t>
  </si>
  <si>
    <t>APS Giruá</t>
  </si>
  <si>
    <t>APS Horizontina</t>
  </si>
  <si>
    <t>APS Palmeira Das Missões</t>
  </si>
  <si>
    <t>Custo Anual Preventiva</t>
  </si>
  <si>
    <t>APS Panambi</t>
  </si>
  <si>
    <t>APS Porto Lucena</t>
  </si>
  <si>
    <t>Custo Anual Corretiva</t>
  </si>
  <si>
    <t>APS Santa Rosa</t>
  </si>
  <si>
    <t>Custo Médio Mensal Manutenção</t>
  </si>
  <si>
    <t>APS São Luiz Gonzaga</t>
  </si>
  <si>
    <t>Custo Anual Manutenção</t>
  </si>
  <si>
    <t>APS Três De Maio</t>
  </si>
  <si>
    <t>APS Três Passos</t>
  </si>
  <si>
    <t>APS Santo Ângelo</t>
  </si>
  <si>
    <t>GEX/APS Ijuí</t>
  </si>
  <si>
    <t>APS Cruz Alta</t>
  </si>
  <si>
    <t>APS Ibirubá</t>
  </si>
  <si>
    <t>APS Itaqui</t>
  </si>
  <si>
    <t>APS São Borja</t>
  </si>
  <si>
    <t>APS Júlio de Castilhos</t>
  </si>
  <si>
    <t>APS Tupanciretã</t>
  </si>
  <si>
    <t>TOTAL</t>
  </si>
  <si>
    <t>Eletrotécnico (ref. SINAPI/88266)</t>
  </si>
  <si>
    <t>Rotas</t>
  </si>
  <si>
    <t>Trecho 1 (Km)</t>
  </si>
  <si>
    <t>Trecho 2 (Km)</t>
  </si>
  <si>
    <t>Trecho 3 (Km)</t>
  </si>
  <si>
    <t>Total (Km)</t>
  </si>
  <si>
    <t>Trecho 1 (min)</t>
  </si>
  <si>
    <t>Trecho 2 (min)</t>
  </si>
  <si>
    <t>Trecho 3 (min)</t>
  </si>
  <si>
    <t>Total (min)</t>
  </si>
  <si>
    <t>Total (horas)</t>
  </si>
  <si>
    <t>Pedágio (ida e volta) *</t>
  </si>
  <si>
    <t>Unidades na rota</t>
  </si>
  <si>
    <t>Média horas p/ unidade</t>
  </si>
  <si>
    <t>Média pedágio p/ unidade</t>
  </si>
  <si>
    <t>Custo do Veículo</t>
  </si>
  <si>
    <t>Composição*</t>
  </si>
  <si>
    <t>Descrição</t>
  </si>
  <si>
    <t>Unidade</t>
  </si>
  <si>
    <t>Valor</t>
  </si>
  <si>
    <t>92145/SINAPI</t>
  </si>
  <si>
    <t>CAMINHONETE CABINE SIMPLES</t>
  </si>
  <si>
    <t>CHP</t>
  </si>
  <si>
    <t>92146/SINAPI</t>
  </si>
  <si>
    <t>CHI</t>
  </si>
  <si>
    <t>* Nas composições utilizadas foram retirados os custos com motorista, pelo fato da própria equipe conduzir o veículo. A composição detalhada encontra-se em planilha apartada.</t>
  </si>
  <si>
    <t>Custo Mensal do Veículo</t>
  </si>
  <si>
    <t>Pedágios</t>
  </si>
  <si>
    <t>Preços pesquisados em 20/10/2023.</t>
  </si>
  <si>
    <t>COMPOSIÇÃO CUSTO DO VEÍCULO</t>
  </si>
  <si>
    <t>Composição ALTERADA SINAPI – 92145 (SEM MOTORISTA)</t>
  </si>
  <si>
    <t>Código</t>
  </si>
  <si>
    <t>92145</t>
  </si>
  <si>
    <t>CAMINHONETE CABINE SIMPLES COM MOTOR 1.6 FLEX, CÂMBIO MANUAL, POTÊNCIA 101/104 CV, 2 PORTAS - CHP DIURNO. AF_11/2015</t>
  </si>
  <si>
    <t>Data</t>
  </si>
  <si>
    <t>Estado</t>
  </si>
  <si>
    <t>Rio Grande do Sul</t>
  </si>
  <si>
    <t>Tipo</t>
  </si>
  <si>
    <t>CHOR - CUSTOS HORÁRIOS DE MÁQUINAS E EQUIPAMENTOS</t>
  </si>
  <si>
    <t>Valor Não Desonerado</t>
  </si>
  <si>
    <t>codigo</t>
  </si>
  <si>
    <t>Coeficiente</t>
  </si>
  <si>
    <t>C</t>
  </si>
  <si>
    <t>92140</t>
  </si>
  <si>
    <t>CAMINHONETE CABINE SIMPLES COM MOTOR 1.6 FLEX, CÂMBIO MANUAL, POTÊNCIA 101/104 CV, 2 PORTAS - DEPRECIAÇÃO. AF_11/2015</t>
  </si>
  <si>
    <t>H</t>
  </si>
  <si>
    <t>1,0</t>
  </si>
  <si>
    <t>92141</t>
  </si>
  <si>
    <t>CAMINHONETE CABINE SIMPLES COM MOTOR 1.6 FLEX, CÂMBIO MANUAL, POTÊNCIA 101/104 CV, 2 PORTAS - JUROS. AF_11/2015</t>
  </si>
  <si>
    <t>92142</t>
  </si>
  <si>
    <t>CAMINHONETE CABINE SIMPLES COM MOTOR 1.6 FLEX, CÂMBIO MANUAL, POTÊNCIA 101/104 CV, 2 PORTAS - IMPOSTOS E SEGUROS. AF_11/2015</t>
  </si>
  <si>
    <t>92143</t>
  </si>
  <si>
    <t>CAMINHONETE CABINE SIMPLES COM MOTOR 1.6 FLEX, CÂMBIO MANUAL, POTÊNCIA 101/104 CV, 2 PORTAS - MANUTENÇÃO. AF_11/2015</t>
  </si>
  <si>
    <t>92144</t>
  </si>
  <si>
    <t>CAMINHONETE CABINE SIMPLES COM MOTOR 1.6 FLEX, CÂMBIO MANUAL, POTÊNCIA 101/104 CV, 2 PORTAS - MATERIAIS NA OPERAÇÃO. AF_11/2015</t>
  </si>
  <si>
    <t>Composição ALTERADA SINAPI – 92146 (SEM MOTORISTA)</t>
  </si>
  <si>
    <t>92146</t>
  </si>
  <si>
    <t>CAMINHONETE CABINE SIMPLES COM MOTOR 1.6 FLEX, CÂMBIO MANUAL, POTÊNCIA 101/104 CV, 2 PORTAS - CHI DIURNO. AF_11/2015</t>
  </si>
  <si>
    <t>GERÊNCIA</t>
  </si>
  <si>
    <t>ENDEREÇO</t>
  </si>
  <si>
    <t>TEMPO DE DESLOCAMENTO IDA E VOLTA DA BASE EM HORAS</t>
  </si>
  <si>
    <t>ISS</t>
  </si>
  <si>
    <t>ÁREA CONSTRUÍDA (M²)</t>
  </si>
  <si>
    <t>Uso constante
(M²)</t>
  </si>
  <si>
    <t>Uso esporádico (M²)</t>
  </si>
  <si>
    <t>Ociosa (M²)</t>
  </si>
  <si>
    <t>HIDRANTE</t>
  </si>
  <si>
    <t>SUBESTAÇÃO</t>
  </si>
  <si>
    <t>Rua Sete de Setembro, 160, Centro</t>
  </si>
  <si>
    <t>NÃO</t>
  </si>
  <si>
    <t>SIM</t>
  </si>
  <si>
    <t>Av. Luis Milani, 254, Centro</t>
  </si>
  <si>
    <t>Rua Sete de Setembro, 37, Centro</t>
  </si>
  <si>
    <t>Rua São Cristóvão, 1386, Centro</t>
  </si>
  <si>
    <t>Rua Borges de Medeiros, 17, Centro</t>
  </si>
  <si>
    <t>Rua Bento Gonçalves, 192, Centro</t>
  </si>
  <si>
    <t>Rua João Bordim, 497, Centro</t>
  </si>
  <si>
    <t>Rua Doutor João Dahne, 197, Centro</t>
  </si>
  <si>
    <t>Rua Doutor Bento Soeiro de Souza, 2373, Centro</t>
  </si>
  <si>
    <t>Av. Santa Rosa, 1381, Centro</t>
  </si>
  <si>
    <t>Rua General Osório, 250, Centro</t>
  </si>
  <si>
    <t>Rua dos Andradas, 730, Dido</t>
  </si>
  <si>
    <t>Rua 20 de Setembro, 275, Centro</t>
  </si>
  <si>
    <t>Av. Benjamin Constant, 553, São Miguel</t>
  </si>
  <si>
    <t>Rua Mauá, 1486, Centro</t>
  </si>
  <si>
    <t>URUGUAIANA</t>
  </si>
  <si>
    <t>Rua Borges do Canto, 984, Centro</t>
  </si>
  <si>
    <t>Rua General Osório, 1842, Centro</t>
  </si>
  <si>
    <t>SANTA MARIA</t>
  </si>
  <si>
    <t>Av. Beto Salles, 55, Centro</t>
  </si>
  <si>
    <t>Rua Capitão Amorin, S/N, Centro</t>
  </si>
  <si>
    <t>PLANILHA DE COMPOSIÇÃO DAS TAXAS DE BONIFICAÇÃO E DESPESAS INDIRETAS (BDI)</t>
  </si>
  <si>
    <t>Fórmula utilizada no Acórdão TCU 2622/2013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</si>
  <si>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</si>
  <si>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</si>
  <si>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</si>
  <si>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</si>
  <si>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</si>
  <si>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</si>
  <si>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</si>
  <si>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</si>
  <si>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</si>
  <si>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</si>
  <si>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</si>
  <si>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</si>
  <si>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</si>
  <si>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</si>
  <si>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</si>
  <si>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</si>
  <si>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</si>
  <si>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</si>
  <si>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</si>
  <si>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</si>
  <si>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I</t>
  </si>
  <si>
    <t>PIS</t>
  </si>
  <si>
    <t>COFINS</t>
  </si>
  <si>
    <t>CPRB</t>
  </si>
  <si>
    <t>BDI CALCULADO</t>
  </si>
  <si>
    <t>BDI ADOTADO</t>
  </si>
  <si>
    <t>ESTIMATIVA DE COMPOSIÇÃO DA TAXA DE BDI PARA EQUIPAMENTOS</t>
  </si>
  <si>
    <t>ISS do município</t>
  </si>
  <si>
    <t>Custo anual preventiva SEM BDI</t>
  </si>
  <si>
    <t>Custo anual preventiva COM BDI</t>
  </si>
  <si>
    <t>Alíquota ISS (%)</t>
  </si>
  <si>
    <t>Preventiva Sem BDI</t>
  </si>
  <si>
    <t>Preventiva Com BDI</t>
  </si>
  <si>
    <t>Valor total sem BDI</t>
  </si>
  <si>
    <t>Valor total com BDI</t>
  </si>
  <si>
    <t>% sem BDI</t>
  </si>
  <si>
    <t>% com BDI</t>
  </si>
  <si>
    <t>Oficial de Manutenção Predial</t>
  </si>
  <si>
    <t>Ajudante (ref. SINAPI/88241)</t>
  </si>
  <si>
    <t>* Tabela SINAPI Outubro/2023 (Não Desonerado)</t>
  </si>
  <si>
    <t>10/2023</t>
  </si>
  <si>
    <t>RIO GRANDE DO SUL</t>
  </si>
  <si>
    <t>Categoria</t>
  </si>
  <si>
    <t>Oficial (*)</t>
  </si>
  <si>
    <t>Convenção coletiva</t>
  </si>
  <si>
    <r>
      <rPr>
        <sz val="11"/>
        <color rgb="FF000000"/>
        <rFont val="Arial"/>
        <family val="2"/>
        <charset val="1"/>
      </rPr>
      <t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>RS003085/2023</t>
    </r>
  </si>
  <si>
    <t>Data base</t>
  </si>
  <si>
    <t>Abrangência</t>
  </si>
  <si>
    <t>Trabalhadores das indústrias da construção civil de Porto Alegre/RS e região</t>
  </si>
  <si>
    <t>Salário base (SB)</t>
  </si>
  <si>
    <t>Encargos Sociais (**) - (ES)
Apêndice 21: Encargos Sociais – Rio Grande do Sul</t>
  </si>
  <si>
    <t>Horista Desonerado</t>
  </si>
  <si>
    <t>Mensalista Desonerado</t>
  </si>
  <si>
    <t>Horista Não Desonerado</t>
  </si>
  <si>
    <t>Mensalista Não Desonerado</t>
  </si>
  <si>
    <t>Cálculo custo do funcionário (***)</t>
  </si>
  <si>
    <r>
      <rPr>
        <sz val="11"/>
        <color rgb="FF000000"/>
        <rFont val="Arial"/>
        <family val="2"/>
        <charset val="1"/>
      </rPr>
      <t>Mensalista Desonerado (M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</si>
  <si>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Mensalista Não desonerado (M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não_desonerado</t>
    </r>
    <r>
      <rPr>
        <sz val="11"/>
        <color rgb="FF000000"/>
        <rFont val="Arial"/>
        <family val="2"/>
        <charset val="1"/>
      </rPr>
      <t>))</t>
    </r>
  </si>
  <si>
    <r>
      <rPr>
        <sz val="11"/>
        <color rgb="FF000000"/>
        <rFont val="Arial"/>
        <family val="2"/>
        <charset val="1"/>
      </rPr>
      <t>Horista Desonerado (****)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</si>
  <si>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(****) - H</t>
    </r>
    <r>
      <rPr>
        <vertAlign val="subscript"/>
        <sz val="10"/>
        <rFont val="Arial"/>
        <family val="2"/>
        <charset val="1"/>
      </rPr>
      <t>não_desonerado</t>
    </r>
  </si>
  <si>
    <t>(*) Descrição da categoria na CCT</t>
  </si>
  <si>
    <t>(**) Fonte: Livro SINAPI: Referências para Custos Horários e Encargos: Sistema Nacional de Pesquisa de Custos e Índices da Construção Civil / Caixa Econômica Federal. – 5ª Ed. – Brasília: CAIXA, 2022.</t>
  </si>
  <si>
    <t xml:space="preserve">(***) Fonte: SINAPI: Metodologias e Conceitos: Sistema Nacional de Pesquisa de Custos e Índices da Construção Civil / Caixa Econômica Federal. – 9ª Ed. – Brasília: CAIXA, 2023.
</t>
  </si>
  <si>
    <t>(****) Fórmula para cálculo do custo do horista, com base no custo do mensalista (Livro Metodologias e Conceitos, página 82)</t>
  </si>
  <si>
    <t>COMPOSIÇÃO CUSTO OFICIAL DE MANUTENÇÃO PREDIAL (CBO 5143-25)</t>
  </si>
  <si>
    <t>Composição ALTERADA SINAPI – 88264</t>
  </si>
  <si>
    <t>OFICIAL DE MANUTENÇÃO PREDIAL COM ENCARGOS COMPLEMENTARES (CBO 5143-25)</t>
  </si>
  <si>
    <t>SEDI - SERVIÇOS DIVERSOS</t>
  </si>
  <si>
    <t>Valor Unitário Não Desonerado</t>
  </si>
  <si>
    <t>CURSO DE CAPACITAÇÃO PARA ELETRICISTA (ENCARGOS COMPLEMENTARES) - HORISTA</t>
  </si>
  <si>
    <t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</si>
  <si>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>SC001231/2023 /</t>
    </r>
    <r>
      <rPr>
        <sz val="10"/>
        <color rgb="FF000000"/>
        <rFont val="Arial"/>
        <family val="1"/>
        <charset val="1"/>
      </rPr>
      <t xml:space="preserve"> CBO 5413-25)</t>
    </r>
  </si>
  <si>
    <t>Mão de Obra</t>
  </si>
  <si>
    <t>ALIMENTACAO - HORISTA (COLETADO CAIXA - ENCARGOS COMPLEMENTARES)</t>
  </si>
  <si>
    <t>Outros</t>
  </si>
  <si>
    <t>TRANSPORTE - HORISTA (COLETADO CAIXA - ENCARGOS COMPLEMENTARES)</t>
  </si>
  <si>
    <t>Serviços</t>
  </si>
  <si>
    <t>EXAMES - HORISTA (COLETADO CAIXA - ENCARGOS COMPLEMENTARES)</t>
  </si>
  <si>
    <t>SEGURO - HORISTA (COLETADO CAIXA - ENCARGOS COMPLEMENTARES)</t>
  </si>
  <si>
    <t>Taxas</t>
  </si>
  <si>
    <t>FERRAMENTAS - FAMILIA ELETRICISTA - HORISTA (ENCARGOS COMPLEMENTARES - COLETADO CAIXA)</t>
  </si>
  <si>
    <t>Equipamento</t>
  </si>
  <si>
    <t>FERRAMENTAS - FAMILIA ENCANADOR - HORISTA (ENCARGOS COMPLEMENTARES - COLETADO CAIXA)</t>
  </si>
  <si>
    <t>EPI – FAMILIA ELETRICISTA - HORISTA (ENCARGOS COMPLEMENTARES - COLETADO CAIXA)</t>
  </si>
  <si>
    <t>Inclui eletrotécnico no deslocamento?</t>
  </si>
  <si>
    <t>Subestação?</t>
  </si>
  <si>
    <t>Insumo*</t>
  </si>
  <si>
    <t>2454/AGETOP</t>
  </si>
  <si>
    <t>PERNOITE EM QUARTO SOLTEIRO C/ AR CONDICIONADO OU VENTILADOR</t>
  </si>
  <si>
    <t>UN</t>
  </si>
  <si>
    <t>* Tabela AGETOP CIVIL Agosto/2023.</t>
  </si>
  <si>
    <t>Profissional</t>
  </si>
  <si>
    <t>ENGENHEIRO ELETRICISTA</t>
  </si>
  <si>
    <t>Referência</t>
  </si>
  <si>
    <t>99275 / insumo SBC</t>
  </si>
  <si>
    <t>Custo do insumo (h)</t>
  </si>
  <si>
    <t>Encargos Sociais (*) - (ES)</t>
  </si>
  <si>
    <t>Apêndice 21: Encargos Sociais – Rio Grande do Sul</t>
  </si>
  <si>
    <t>Cálculo custo do funcionário</t>
  </si>
  <si>
    <r>
      <rPr>
        <sz val="11"/>
        <color rgb="FF000000"/>
        <rFont val="Arial"/>
        <family val="2"/>
        <charset val="1"/>
      </rPr>
      <t>Horista Desonerado - H</t>
    </r>
    <r>
      <rPr>
        <vertAlign val="subscript"/>
        <sz val="10"/>
        <rFont val="Arial"/>
        <family val="2"/>
        <charset val="1"/>
      </rPr>
      <t>desonerado</t>
    </r>
  </si>
  <si>
    <r>
      <rPr>
        <sz val="11"/>
        <color rgb="FF000000"/>
        <rFont val="Arial"/>
        <family val="2"/>
        <charset val="1"/>
      </rPr>
      <t>Horista Não Desonerado - H</t>
    </r>
    <r>
      <rPr>
        <vertAlign val="subscript"/>
        <sz val="10"/>
        <rFont val="Arial"/>
        <family val="2"/>
        <charset val="1"/>
      </rPr>
      <t>não_desonerado</t>
    </r>
  </si>
  <si>
    <t>(*) Fonte: Livro SINAPI: Referências para Custos Horários e Encargos: Sistema Nacional de Pesquisa de Custos e Índices da Construção Civil / Caixa Econômica Federal. – 5ª Ed. – Brasília: CAIXA, 2022.</t>
  </si>
  <si>
    <t>COMPOSIÇÃO CUSTO ENGENHEIRO ELETRICISTA</t>
  </si>
  <si>
    <t>Composição ALTERADA SINAPI – 91677</t>
  </si>
  <si>
    <t>ENGENHEIRO ELETRICISTA COM ENCARGOS COMPLEMENTARES</t>
  </si>
  <si>
    <t>Valor Unitário Desonerado</t>
  </si>
  <si>
    <t>Valor Desonerado</t>
  </si>
  <si>
    <t>23688/SBC</t>
  </si>
  <si>
    <t>CURSO DE CAPACITACAO PARA ENGENHEIRO ELETRICISTA</t>
  </si>
  <si>
    <t>-</t>
  </si>
  <si>
    <t>99275/SBC</t>
  </si>
  <si>
    <t xml:space="preserve"> 00037372 </t>
  </si>
  <si>
    <t>1,14</t>
  </si>
  <si>
    <t xml:space="preserve"> 00037373 </t>
  </si>
  <si>
    <t>0,07</t>
  </si>
  <si>
    <t xml:space="preserve"> 00043462 </t>
  </si>
  <si>
    <t>FERRAMENTAS - FAMILIA ENGENHEIRO CIVIL - HORISTA (ENCARGOS COMPLEMENTARES - COLETADO CAIXA)</t>
  </si>
  <si>
    <t>0,01</t>
  </si>
  <si>
    <t xml:space="preserve"> 00043486 </t>
  </si>
  <si>
    <t>EPI - FAMILIA ENGENHEIRO CIVIL - HORISTA (ENCARGOS COMPLEMENTARES - COLETADO CAIXA)</t>
  </si>
  <si>
    <t>0,71</t>
  </si>
  <si>
    <t>ANEXO I – B10</t>
  </si>
  <si>
    <t>VALOR TOTAL DO ITEM 10: R$ 1.234.320,60 (Um milhão, duzentos e trinta e quatro mil, trezentos e vinte reais e sessenta centavos).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</si>
</sst>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[$R$-416]\ #,##0.00;[Red]\-[$R$-416]\ #,##0.00"/>
    <numFmt numFmtId="165" formatCode="&quot; R$ &quot;* #,##0.00\ ;&quot;-R$ &quot;* #,##0.00\ ;&quot; R$ &quot;* \-#\ ;@\ "/>
    <numFmt numFmtId="166" formatCode="0.0000%"/>
    <numFmt numFmtId="167" formatCode="&quot;R$ &quot;#,##0.00;[Red]&quot;-R$ &quot;#,##0.00"/>
    <numFmt numFmtId="168" formatCode="#,##0.00\ ;[Red]\(#,##0.00\)"/>
    <numFmt numFmtId="169" formatCode="#,##0.00_);[Red]\(#,##0.00\)"/>
    <numFmt numFmtId="170" formatCode="#,##0.0"/>
    <numFmt numFmtId="171" formatCode="&quot;R$&quot;\ #,##0.00"/>
    <numFmt numFmtId="172" formatCode="d/m/yyyy"/>
  </numFmts>
  <fonts count="27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1"/>
      <charset val="1"/>
    </font>
    <font>
      <sz val="12"/>
      <color rgb="FF000000"/>
      <name val="Arial"/>
      <family val="2"/>
      <charset val="1"/>
    </font>
    <font>
      <b/>
      <sz val="13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1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vertAlign val="subscript"/>
      <sz val="10"/>
      <name val="Arial"/>
      <family val="2"/>
      <charset val="1"/>
    </font>
    <font>
      <b/>
      <sz val="10"/>
      <color rgb="FF000000"/>
      <name val="Arial"/>
      <family val="1"/>
      <charset val="1"/>
    </font>
  </fonts>
  <fills count="22">
    <fill>
      <patternFill patternType="none"/>
    </fill>
    <fill>
      <patternFill patternType="gray125"/>
    </fill>
    <fill>
      <patternFill patternType="solid">
        <fgColor rgb="FFCCFFCC"/>
        <bgColor rgb="FFEEEEEE"/>
      </patternFill>
    </fill>
    <fill>
      <patternFill patternType="solid">
        <fgColor rgb="FFEEEEEE"/>
        <bgColor rgb="FFDAE3F3"/>
      </patternFill>
    </fill>
    <fill>
      <patternFill patternType="solid">
        <fgColor rgb="FFFFFFFF"/>
        <bgColor rgb="FFEEEEEE"/>
      </patternFill>
    </fill>
    <fill>
      <patternFill patternType="solid">
        <fgColor theme="6" tint="0.79998168889431442"/>
        <bgColor rgb="FFEEEEEE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DAE3F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rgb="FFE2F0D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theme="6" tint="0.39997558519241921"/>
        <bgColor rgb="FF003300"/>
      </patternFill>
    </fill>
    <fill>
      <patternFill patternType="solid">
        <fgColor theme="6" tint="0.79998168889431442"/>
        <bgColor rgb="FF969696"/>
      </patternFill>
    </fill>
    <fill>
      <patternFill patternType="solid">
        <fgColor rgb="FFCCFFCC"/>
        <bgColor rgb="FFCCFFFF"/>
      </patternFill>
    </fill>
    <fill>
      <patternFill patternType="solid">
        <fgColor theme="0" tint="-0.14999847407452621"/>
        <bgColor rgb="FFDEEBF7"/>
      </patternFill>
    </fill>
    <fill>
      <patternFill patternType="solid">
        <fgColor theme="6" tint="0.79989013336588644"/>
        <bgColor rgb="FFEEEEEE"/>
      </patternFill>
    </fill>
    <fill>
      <patternFill patternType="solid">
        <fgColor theme="2" tint="-4.9989318521683403E-2"/>
        <bgColor rgb="FFD9D9D9"/>
      </patternFill>
    </fill>
    <fill>
      <patternFill patternType="solid">
        <fgColor theme="2" tint="-0.14999847407452621"/>
        <bgColor rgb="FF003300"/>
      </patternFill>
    </fill>
    <fill>
      <patternFill patternType="solid">
        <fgColor theme="2" tint="-4.9989318521683403E-2"/>
        <bgColor rgb="FF969696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165" fontId="19" fillId="0" borderId="0" applyBorder="0" applyProtection="0"/>
    <xf numFmtId="9" fontId="9" fillId="0" borderId="0" applyBorder="0" applyProtection="0"/>
    <xf numFmtId="0" fontId="1" fillId="0" borderId="0"/>
    <xf numFmtId="0" fontId="2" fillId="2" borderId="0"/>
    <xf numFmtId="0" fontId="2" fillId="10" borderId="0"/>
    <xf numFmtId="9" fontId="1" fillId="0" borderId="0" applyBorder="0" applyProtection="0"/>
    <xf numFmtId="0" fontId="19" fillId="0" borderId="0"/>
    <xf numFmtId="165" fontId="19" fillId="0" borderId="0" applyBorder="0" applyProtection="0"/>
    <xf numFmtId="0" fontId="9" fillId="0" borderId="0"/>
    <xf numFmtId="0" fontId="2" fillId="16" borderId="0"/>
  </cellStyleXfs>
  <cellXfs count="328">
    <xf numFmtId="0" fontId="0" fillId="0" borderId="0" xfId="0"/>
    <xf numFmtId="0" fontId="7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8" fillId="0" borderId="0" xfId="0" applyFont="1"/>
    <xf numFmtId="2" fontId="5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/>
    </xf>
    <xf numFmtId="168" fontId="6" fillId="0" borderId="0" xfId="0" applyNumberFormat="1" applyFont="1" applyAlignment="1">
      <alignment vertical="center" wrapText="1"/>
    </xf>
    <xf numFmtId="168" fontId="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2" fontId="6" fillId="0" borderId="0" xfId="0" applyNumberFormat="1" applyFont="1" applyAlignment="1">
      <alignment vertical="center" wrapText="1"/>
    </xf>
    <xf numFmtId="0" fontId="6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9" fillId="0" borderId="0" xfId="0" applyFont="1"/>
    <xf numFmtId="0" fontId="6" fillId="0" borderId="0" xfId="0" applyFont="1" applyAlignment="1">
      <alignment horizontal="center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169" fontId="5" fillId="0" borderId="1" xfId="0" applyNumberFormat="1" applyFont="1" applyBorder="1" applyAlignment="1">
      <alignment horizontal="left" vertical="center" wrapText="1"/>
    </xf>
    <xf numFmtId="168" fontId="6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68" fontId="6" fillId="0" borderId="1" xfId="0" applyNumberFormat="1" applyFont="1" applyBorder="1" applyAlignment="1">
      <alignment horizontal="left" vertical="center" wrapText="1"/>
    </xf>
    <xf numFmtId="0" fontId="9" fillId="0" borderId="1" xfId="4" applyFont="1" applyFill="1" applyBorder="1" applyAlignment="1">
      <alignment vertical="center" wrapText="1"/>
    </xf>
    <xf numFmtId="10" fontId="9" fillId="0" borderId="1" xfId="2" applyNumberFormat="1" applyBorder="1" applyAlignment="1" applyProtection="1">
      <alignment horizontal="center" vertical="center" wrapText="1"/>
    </xf>
    <xf numFmtId="0" fontId="9" fillId="4" borderId="1" xfId="4" applyFont="1" applyFill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2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10" fontId="20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0" xfId="0" applyBorder="1"/>
    <xf numFmtId="0" fontId="8" fillId="0" borderId="16" xfId="0" applyFont="1" applyBorder="1" applyAlignment="1">
      <alignment horizontal="justify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8" fontId="5" fillId="6" borderId="1" xfId="0" applyNumberFormat="1" applyFont="1" applyFill="1" applyBorder="1" applyAlignment="1">
      <alignment horizontal="right" vertical="center" wrapText="1"/>
    </xf>
    <xf numFmtId="168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2" fontId="20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4" fontId="5" fillId="6" borderId="1" xfId="0" applyNumberFormat="1" applyFont="1" applyFill="1" applyBorder="1" applyAlignment="1">
      <alignment horizontal="center" vertical="center"/>
    </xf>
    <xf numFmtId="165" fontId="5" fillId="6" borderId="1" xfId="1" applyFont="1" applyFill="1" applyBorder="1" applyAlignment="1" applyProtection="1">
      <alignment horizontal="center" vertical="center"/>
    </xf>
    <xf numFmtId="4" fontId="5" fillId="6" borderId="3" xfId="0" applyNumberFormat="1" applyFont="1" applyFill="1" applyBorder="1" applyAlignment="1">
      <alignment horizontal="center" vertical="center"/>
    </xf>
    <xf numFmtId="1" fontId="5" fillId="6" borderId="1" xfId="1" applyNumberFormat="1" applyFont="1" applyFill="1" applyBorder="1" applyAlignment="1" applyProtection="1">
      <alignment horizontal="center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164" fontId="6" fillId="0" borderId="21" xfId="0" applyNumberFormat="1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3" xfId="0" applyFont="1" applyBorder="1" applyAlignment="1">
      <alignment vertical="center"/>
    </xf>
    <xf numFmtId="164" fontId="6" fillId="0" borderId="23" xfId="0" applyNumberFormat="1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164" fontId="8" fillId="0" borderId="21" xfId="0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0" fontId="14" fillId="4" borderId="0" xfId="4" applyFont="1" applyFill="1" applyAlignment="1">
      <alignment horizontal="left" vertical="top" wrapText="1"/>
    </xf>
    <xf numFmtId="164" fontId="15" fillId="4" borderId="0" xfId="4" applyNumberFormat="1" applyFont="1" applyFill="1" applyAlignment="1">
      <alignment horizontal="left" vertical="top" wrapText="1"/>
    </xf>
    <xf numFmtId="0" fontId="13" fillId="4" borderId="21" xfId="4" applyFont="1" applyFill="1" applyBorder="1" applyAlignment="1">
      <alignment horizontal="center" vertical="center" wrapText="1"/>
    </xf>
    <xf numFmtId="0" fontId="16" fillId="9" borderId="21" xfId="4" applyFont="1" applyFill="1" applyBorder="1" applyAlignment="1">
      <alignment horizontal="left" vertical="center" wrapText="1"/>
    </xf>
    <xf numFmtId="0" fontId="16" fillId="9" borderId="21" xfId="4" applyFont="1" applyFill="1" applyBorder="1" applyAlignment="1">
      <alignment horizontal="center" vertical="center" wrapText="1"/>
    </xf>
    <xf numFmtId="10" fontId="9" fillId="0" borderId="21" xfId="2" applyNumberFormat="1" applyBorder="1" applyAlignment="1">
      <alignment horizontal="center" vertical="center"/>
    </xf>
    <xf numFmtId="171" fontId="6" fillId="0" borderId="21" xfId="0" applyNumberFormat="1" applyFont="1" applyBorder="1" applyAlignment="1">
      <alignment vertical="center" wrapText="1"/>
    </xf>
    <xf numFmtId="0" fontId="7" fillId="8" borderId="21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 wrapText="1"/>
    </xf>
    <xf numFmtId="10" fontId="9" fillId="0" borderId="21" xfId="0" applyNumberFormat="1" applyFont="1" applyBorder="1" applyAlignment="1">
      <alignment horizontal="center" vertical="center" wrapText="1"/>
    </xf>
    <xf numFmtId="10" fontId="9" fillId="0" borderId="21" xfId="0" applyNumberFormat="1" applyFont="1" applyBorder="1" applyAlignment="1">
      <alignment vertical="center" wrapText="1"/>
    </xf>
    <xf numFmtId="167" fontId="9" fillId="0" borderId="21" xfId="0" applyNumberFormat="1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171" fontId="5" fillId="8" borderId="21" xfId="0" applyNumberFormat="1" applyFont="1" applyFill="1" applyBorder="1" applyAlignment="1">
      <alignment vertical="center" wrapText="1"/>
    </xf>
    <xf numFmtId="167" fontId="8" fillId="8" borderId="21" xfId="0" applyNumberFormat="1" applyFont="1" applyFill="1" applyBorder="1" applyAlignment="1">
      <alignment vertical="center" wrapText="1"/>
    </xf>
    <xf numFmtId="10" fontId="8" fillId="8" borderId="21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vertical="center" wrapText="1"/>
    </xf>
    <xf numFmtId="10" fontId="6" fillId="0" borderId="24" xfId="0" applyNumberFormat="1" applyFont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10" fontId="20" fillId="6" borderId="13" xfId="0" applyNumberFormat="1" applyFont="1" applyFill="1" applyBorder="1" applyAlignment="1">
      <alignment horizontal="center" vertical="top" wrapText="1"/>
    </xf>
    <xf numFmtId="10" fontId="20" fillId="6" borderId="24" xfId="0" applyNumberFormat="1" applyFont="1" applyFill="1" applyBorder="1" applyAlignment="1">
      <alignment horizontal="center" vertical="top" wrapText="1"/>
    </xf>
    <xf numFmtId="10" fontId="20" fillId="6" borderId="15" xfId="0" applyNumberFormat="1" applyFont="1" applyFill="1" applyBorder="1" applyAlignment="1">
      <alignment horizontal="center" vertical="top" wrapText="1"/>
    </xf>
    <xf numFmtId="168" fontId="6" fillId="0" borderId="1" xfId="0" applyNumberFormat="1" applyFont="1" applyBorder="1" applyAlignment="1">
      <alignment horizontal="justify" vertical="center" wrapText="1"/>
    </xf>
    <xf numFmtId="170" fontId="6" fillId="0" borderId="1" xfId="7" applyNumberFormat="1" applyFont="1" applyBorder="1" applyAlignment="1">
      <alignment horizontal="center" vertical="center"/>
    </xf>
    <xf numFmtId="170" fontId="5" fillId="0" borderId="1" xfId="7" applyNumberFormat="1" applyFont="1" applyBorder="1" applyAlignment="1">
      <alignment horizontal="center" vertical="center"/>
    </xf>
    <xf numFmtId="3" fontId="5" fillId="0" borderId="1" xfId="7" applyNumberFormat="1" applyFont="1" applyBorder="1" applyAlignment="1">
      <alignment horizontal="center" vertical="center"/>
    </xf>
    <xf numFmtId="4" fontId="5" fillId="0" borderId="2" xfId="7" applyNumberFormat="1" applyFont="1" applyBorder="1" applyAlignment="1">
      <alignment horizontal="center" vertical="center"/>
    </xf>
    <xf numFmtId="165" fontId="5" fillId="0" borderId="1" xfId="8" applyFont="1" applyBorder="1" applyAlignment="1" applyProtection="1">
      <alignment horizontal="center" vertical="center"/>
    </xf>
    <xf numFmtId="3" fontId="20" fillId="0" borderId="1" xfId="7" applyNumberFormat="1" applyFont="1" applyBorder="1" applyAlignment="1">
      <alignment horizontal="center" vertical="center"/>
    </xf>
    <xf numFmtId="4" fontId="5" fillId="0" borderId="24" xfId="7" applyNumberFormat="1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4" fontId="5" fillId="0" borderId="1" xfId="7" applyNumberFormat="1" applyFont="1" applyBorder="1" applyAlignment="1">
      <alignment horizontal="center" vertical="center"/>
    </xf>
    <xf numFmtId="165" fontId="5" fillId="0" borderId="2" xfId="8" applyFont="1" applyBorder="1" applyAlignment="1" applyProtection="1">
      <alignment vertical="center"/>
    </xf>
    <xf numFmtId="165" fontId="5" fillId="0" borderId="24" xfId="8" applyFont="1" applyBorder="1" applyAlignment="1" applyProtection="1">
      <alignment vertical="center"/>
    </xf>
    <xf numFmtId="3" fontId="6" fillId="0" borderId="1" xfId="7" applyNumberFormat="1" applyFont="1" applyBorder="1" applyAlignment="1">
      <alignment horizontal="center" vertical="center"/>
    </xf>
    <xf numFmtId="165" fontId="5" fillId="0" borderId="12" xfId="8" applyFont="1" applyBorder="1" applyAlignment="1" applyProtection="1">
      <alignment vertical="center"/>
    </xf>
    <xf numFmtId="165" fontId="5" fillId="0" borderId="15" xfId="8" applyFont="1" applyBorder="1" applyAlignment="1" applyProtection="1">
      <alignment vertical="center"/>
    </xf>
    <xf numFmtId="4" fontId="5" fillId="0" borderId="25" xfId="7" applyNumberFormat="1" applyFont="1" applyBorder="1" applyAlignment="1">
      <alignment horizontal="center" vertical="center"/>
    </xf>
    <xf numFmtId="0" fontId="5" fillId="6" borderId="1" xfId="0" applyFont="1" applyFill="1" applyBorder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6" fillId="0" borderId="24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0" xfId="9" applyAlignment="1">
      <alignment vertical="center"/>
    </xf>
    <xf numFmtId="0" fontId="8" fillId="12" borderId="1" xfId="9" applyFont="1" applyFill="1" applyBorder="1" applyAlignment="1">
      <alignment horizontal="center" vertical="center" wrapText="1"/>
    </xf>
    <xf numFmtId="0" fontId="9" fillId="0" borderId="1" xfId="9" applyBorder="1" applyAlignment="1">
      <alignment vertical="center"/>
    </xf>
    <xf numFmtId="172" fontId="9" fillId="13" borderId="1" xfId="9" applyNumberFormat="1" applyFill="1" applyBorder="1" applyAlignment="1">
      <alignment horizontal="center" vertical="center" wrapText="1"/>
    </xf>
    <xf numFmtId="164" fontId="9" fillId="13" borderId="1" xfId="9" applyNumberFormat="1" applyFill="1" applyBorder="1" applyAlignment="1">
      <alignment horizontal="center" vertical="center" wrapText="1"/>
    </xf>
    <xf numFmtId="0" fontId="9" fillId="14" borderId="1" xfId="9" applyFill="1" applyBorder="1" applyAlignment="1">
      <alignment vertical="center"/>
    </xf>
    <xf numFmtId="164" fontId="9" fillId="14" borderId="1" xfId="9" applyNumberFormat="1" applyFill="1" applyBorder="1" applyAlignment="1">
      <alignment horizontal="center" vertical="center" wrapText="1"/>
    </xf>
    <xf numFmtId="0" fontId="8" fillId="0" borderId="1" xfId="9" applyFont="1" applyBorder="1" applyAlignment="1">
      <alignment vertical="center" wrapText="1"/>
    </xf>
    <xf numFmtId="10" fontId="9" fillId="0" borderId="1" xfId="9" applyNumberFormat="1" applyBorder="1" applyAlignment="1">
      <alignment vertical="center"/>
    </xf>
    <xf numFmtId="0" fontId="8" fillId="0" borderId="1" xfId="9" applyFont="1" applyBorder="1" applyAlignment="1">
      <alignment vertical="center"/>
    </xf>
    <xf numFmtId="164" fontId="9" fillId="0" borderId="1" xfId="9" applyNumberFormat="1" applyBorder="1" applyAlignment="1">
      <alignment vertical="center"/>
    </xf>
    <xf numFmtId="2" fontId="9" fillId="0" borderId="0" xfId="9" applyNumberFormat="1" applyAlignment="1">
      <alignment vertical="center"/>
    </xf>
    <xf numFmtId="164" fontId="21" fillId="15" borderId="1" xfId="9" applyNumberFormat="1" applyFont="1" applyFill="1" applyBorder="1" applyAlignment="1">
      <alignment vertical="center"/>
    </xf>
    <xf numFmtId="4" fontId="9" fillId="0" borderId="0" xfId="9" applyNumberFormat="1" applyAlignment="1">
      <alignment vertical="center"/>
    </xf>
    <xf numFmtId="0" fontId="9" fillId="0" borderId="0" xfId="9"/>
    <xf numFmtId="0" fontId="14" fillId="13" borderId="0" xfId="10" applyFont="1" applyFill="1" applyAlignment="1">
      <alignment horizontal="left" vertical="top" wrapText="1"/>
    </xf>
    <xf numFmtId="164" fontId="15" fillId="13" borderId="0" xfId="10" applyNumberFormat="1" applyFont="1" applyFill="1" applyAlignment="1">
      <alignment horizontal="left" vertical="top" wrapText="1"/>
    </xf>
    <xf numFmtId="0" fontId="13" fillId="13" borderId="1" xfId="10" applyFont="1" applyFill="1" applyBorder="1" applyAlignment="1">
      <alignment horizontal="center" vertical="center" wrapText="1"/>
    </xf>
    <xf numFmtId="0" fontId="16" fillId="13" borderId="1" xfId="10" applyFont="1" applyFill="1" applyBorder="1" applyAlignment="1">
      <alignment horizontal="center" vertical="center" wrapText="1"/>
    </xf>
    <xf numFmtId="2" fontId="16" fillId="0" borderId="1" xfId="10" applyNumberFormat="1" applyFont="1" applyFill="1" applyBorder="1" applyAlignment="1">
      <alignment horizontal="center" vertical="center" wrapText="1"/>
    </xf>
    <xf numFmtId="2" fontId="16" fillId="13" borderId="1" xfId="10" applyNumberFormat="1" applyFont="1" applyFill="1" applyBorder="1" applyAlignment="1">
      <alignment horizontal="center" vertical="center" wrapText="1"/>
    </xf>
    <xf numFmtId="171" fontId="16" fillId="13" borderId="1" xfId="10" applyNumberFormat="1" applyFont="1" applyFill="1" applyBorder="1" applyAlignment="1">
      <alignment horizontal="center" vertical="center" wrapText="1"/>
    </xf>
    <xf numFmtId="0" fontId="12" fillId="0" borderId="0" xfId="9" applyFont="1" applyAlignment="1">
      <alignment wrapText="1"/>
    </xf>
    <xf numFmtId="0" fontId="15" fillId="13" borderId="1" xfId="10" applyFont="1" applyFill="1" applyBorder="1" applyAlignment="1">
      <alignment horizontal="center" vertical="center" wrapText="1"/>
    </xf>
    <xf numFmtId="2" fontId="15" fillId="0" borderId="1" xfId="10" applyNumberFormat="1" applyFont="1" applyFill="1" applyBorder="1" applyAlignment="1">
      <alignment horizontal="center" vertical="center" wrapText="1"/>
    </xf>
    <xf numFmtId="2" fontId="15" fillId="13" borderId="1" xfId="10" applyNumberFormat="1" applyFont="1" applyFill="1" applyBorder="1" applyAlignment="1">
      <alignment horizontal="center" vertical="center" wrapText="1"/>
    </xf>
    <xf numFmtId="171" fontId="15" fillId="13" borderId="1" xfId="10" applyNumberFormat="1" applyFont="1" applyFill="1" applyBorder="1" applyAlignment="1">
      <alignment horizontal="center" vertical="center" wrapText="1"/>
    </xf>
    <xf numFmtId="0" fontId="5" fillId="18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3" xfId="0" applyFont="1" applyBorder="1" applyAlignment="1">
      <alignment vertical="center" wrapText="1"/>
    </xf>
    <xf numFmtId="164" fontId="20" fillId="0" borderId="23" xfId="0" applyNumberFormat="1" applyFont="1" applyBorder="1" applyAlignment="1">
      <alignment vertical="center"/>
    </xf>
    <xf numFmtId="0" fontId="8" fillId="19" borderId="1" xfId="9" applyFont="1" applyFill="1" applyBorder="1" applyAlignment="1">
      <alignment horizontal="center" vertical="center" wrapText="1"/>
    </xf>
    <xf numFmtId="0" fontId="9" fillId="20" borderId="1" xfId="9" applyFill="1" applyBorder="1" applyAlignment="1">
      <alignment vertical="center"/>
    </xf>
    <xf numFmtId="164" fontId="9" fillId="20" borderId="1" xfId="9" applyNumberFormat="1" applyFill="1" applyBorder="1" applyAlignment="1">
      <alignment horizontal="center" vertical="center" wrapText="1"/>
    </xf>
    <xf numFmtId="0" fontId="9" fillId="0" borderId="1" xfId="9" applyBorder="1" applyAlignment="1">
      <alignment vertical="center" wrapText="1"/>
    </xf>
    <xf numFmtId="0" fontId="0" fillId="0" borderId="1" xfId="9" applyFont="1" applyBorder="1" applyAlignment="1">
      <alignment vertical="center"/>
    </xf>
    <xf numFmtId="164" fontId="21" fillId="21" borderId="1" xfId="9" applyNumberFormat="1" applyFont="1" applyFill="1" applyBorder="1" applyAlignment="1">
      <alignment vertical="center"/>
    </xf>
    <xf numFmtId="171" fontId="9" fillId="0" borderId="0" xfId="9" applyNumberFormat="1" applyAlignment="1">
      <alignment vertical="center"/>
    </xf>
    <xf numFmtId="171" fontId="9" fillId="0" borderId="0" xfId="9" applyNumberFormat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/>
    </xf>
    <xf numFmtId="2" fontId="5" fillId="6" borderId="3" xfId="0" applyNumberFormat="1" applyFont="1" applyFill="1" applyBorder="1" applyAlignment="1">
      <alignment horizontal="center" vertical="center"/>
    </xf>
    <xf numFmtId="2" fontId="5" fillId="6" borderId="9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 wrapText="1"/>
    </xf>
    <xf numFmtId="168" fontId="5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2" fontId="7" fillId="8" borderId="3" xfId="0" applyNumberFormat="1" applyFont="1" applyFill="1" applyBorder="1" applyAlignment="1">
      <alignment horizontal="center" vertical="center" wrapText="1"/>
    </xf>
    <xf numFmtId="2" fontId="7" fillId="8" borderId="8" xfId="0" applyNumberFormat="1" applyFont="1" applyFill="1" applyBorder="1" applyAlignment="1">
      <alignment horizontal="center" vertical="center" wrapText="1"/>
    </xf>
    <xf numFmtId="2" fontId="7" fillId="8" borderId="9" xfId="0" applyNumberFormat="1" applyFont="1" applyFill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center" vertical="center" wrapText="1"/>
    </xf>
    <xf numFmtId="2" fontId="5" fillId="6" borderId="8" xfId="0" applyNumberFormat="1" applyFont="1" applyFill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center" vertical="center" wrapText="1"/>
    </xf>
    <xf numFmtId="2" fontId="11" fillId="8" borderId="3" xfId="0" applyNumberFormat="1" applyFont="1" applyFill="1" applyBorder="1" applyAlignment="1">
      <alignment horizontal="center" vertical="center"/>
    </xf>
    <xf numFmtId="2" fontId="11" fillId="8" borderId="8" xfId="0" applyNumberFormat="1" applyFont="1" applyFill="1" applyBorder="1" applyAlignment="1">
      <alignment horizontal="center" vertical="center"/>
    </xf>
    <xf numFmtId="2" fontId="11" fillId="8" borderId="9" xfId="0" applyNumberFormat="1" applyFont="1" applyFill="1" applyBorder="1" applyAlignment="1">
      <alignment horizontal="center" vertical="center"/>
    </xf>
    <xf numFmtId="0" fontId="6" fillId="0" borderId="2" xfId="7" applyFont="1" applyBorder="1" applyAlignment="1">
      <alignment horizontal="center" vertical="center"/>
    </xf>
    <xf numFmtId="0" fontId="6" fillId="0" borderId="24" xfId="7" applyFont="1" applyBorder="1" applyAlignment="1">
      <alignment horizontal="center" vertical="center"/>
    </xf>
    <xf numFmtId="170" fontId="6" fillId="0" borderId="1" xfId="7" applyNumberFormat="1" applyFont="1" applyBorder="1" applyAlignment="1">
      <alignment horizontal="center" vertical="center"/>
    </xf>
    <xf numFmtId="170" fontId="5" fillId="0" borderId="1" xfId="7" applyNumberFormat="1" applyFont="1" applyBorder="1" applyAlignment="1">
      <alignment horizontal="center" vertical="center"/>
    </xf>
    <xf numFmtId="165" fontId="5" fillId="0" borderId="1" xfId="8" applyFont="1" applyBorder="1" applyAlignment="1" applyProtection="1">
      <alignment horizontal="center" vertical="center"/>
    </xf>
    <xf numFmtId="3" fontId="20" fillId="0" borderId="1" xfId="7" applyNumberFormat="1" applyFont="1" applyBorder="1" applyAlignment="1">
      <alignment horizontal="center" vertical="center"/>
    </xf>
    <xf numFmtId="3" fontId="6" fillId="0" borderId="1" xfId="7" applyNumberFormat="1" applyFont="1" applyBorder="1" applyAlignment="1">
      <alignment horizontal="center" vertical="center"/>
    </xf>
    <xf numFmtId="3" fontId="5" fillId="0" borderId="1" xfId="7" applyNumberFormat="1" applyFont="1" applyBorder="1" applyAlignment="1">
      <alignment horizontal="center" vertical="center"/>
    </xf>
    <xf numFmtId="4" fontId="5" fillId="0" borderId="2" xfId="7" applyNumberFormat="1" applyFont="1" applyBorder="1" applyAlignment="1">
      <alignment horizontal="center" vertical="center"/>
    </xf>
    <xf numFmtId="4" fontId="5" fillId="0" borderId="24" xfId="7" applyNumberFormat="1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3" fontId="20" fillId="0" borderId="3" xfId="7" applyNumberFormat="1" applyFont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/>
    </xf>
    <xf numFmtId="164" fontId="6" fillId="0" borderId="1" xfId="7" applyNumberFormat="1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0" fontId="8" fillId="8" borderId="17" xfId="0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5" fillId="8" borderId="21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9" fillId="0" borderId="0" xfId="9" applyAlignment="1">
      <alignment horizontal="left" vertical="center" wrapText="1"/>
    </xf>
    <xf numFmtId="0" fontId="14" fillId="13" borderId="1" xfId="10" applyFont="1" applyFill="1" applyBorder="1" applyAlignment="1">
      <alignment horizontal="left" vertical="top" wrapText="1"/>
    </xf>
    <xf numFmtId="0" fontId="15" fillId="13" borderId="1" xfId="10" applyFont="1" applyFill="1" applyBorder="1" applyAlignment="1">
      <alignment horizontal="left" vertical="top" wrapText="1"/>
    </xf>
    <xf numFmtId="0" fontId="14" fillId="13" borderId="1" xfId="10" applyFont="1" applyFill="1" applyBorder="1" applyAlignment="1">
      <alignment horizontal="left" vertical="center" wrapText="1"/>
    </xf>
    <xf numFmtId="164" fontId="26" fillId="13" borderId="1" xfId="10" applyNumberFormat="1" applyFont="1" applyFill="1" applyBorder="1" applyAlignment="1">
      <alignment horizontal="left" vertical="center"/>
    </xf>
    <xf numFmtId="49" fontId="15" fillId="13" borderId="1" xfId="10" applyNumberFormat="1" applyFont="1" applyFill="1" applyBorder="1" applyAlignment="1">
      <alignment horizontal="left" vertical="top" wrapText="1"/>
    </xf>
    <xf numFmtId="0" fontId="13" fillId="17" borderId="1" xfId="10" applyFont="1" applyFill="1" applyBorder="1" applyAlignment="1">
      <alignment horizontal="center" vertical="center" wrapText="1"/>
    </xf>
    <xf numFmtId="0" fontId="13" fillId="17" borderId="2" xfId="10" applyFont="1" applyFill="1" applyBorder="1" applyAlignment="1">
      <alignment horizontal="center" vertical="center" wrapText="1"/>
    </xf>
    <xf numFmtId="49" fontId="15" fillId="0" borderId="1" xfId="10" applyNumberFormat="1" applyFont="1" applyFill="1" applyBorder="1" applyAlignment="1">
      <alignment horizontal="left" vertical="top" wrapText="1"/>
    </xf>
    <xf numFmtId="0" fontId="13" fillId="8" borderId="21" xfId="4" applyFont="1" applyFill="1" applyBorder="1" applyAlignment="1">
      <alignment horizontal="center" vertical="center" wrapText="1"/>
    </xf>
    <xf numFmtId="0" fontId="14" fillId="4" borderId="17" xfId="4" applyFont="1" applyFill="1" applyBorder="1" applyAlignment="1">
      <alignment horizontal="left" vertical="center" wrapText="1"/>
    </xf>
    <xf numFmtId="0" fontId="14" fillId="4" borderId="19" xfId="4" applyFont="1" applyFill="1" applyBorder="1" applyAlignment="1">
      <alignment horizontal="left" vertical="center" wrapText="1"/>
    </xf>
    <xf numFmtId="0" fontId="15" fillId="4" borderId="17" xfId="4" applyFont="1" applyFill="1" applyBorder="1" applyAlignment="1">
      <alignment horizontal="left" vertical="center" wrapText="1"/>
    </xf>
    <xf numFmtId="0" fontId="15" fillId="4" borderId="18" xfId="4" applyFont="1" applyFill="1" applyBorder="1" applyAlignment="1">
      <alignment horizontal="left" vertical="center" wrapText="1"/>
    </xf>
    <xf numFmtId="0" fontId="15" fillId="4" borderId="19" xfId="4" applyFont="1" applyFill="1" applyBorder="1" applyAlignment="1">
      <alignment horizontal="left" vertical="center" wrapText="1"/>
    </xf>
    <xf numFmtId="0" fontId="13" fillId="8" borderId="17" xfId="4" applyFont="1" applyFill="1" applyBorder="1" applyAlignment="1">
      <alignment horizontal="center" vertical="center" wrapText="1"/>
    </xf>
    <xf numFmtId="0" fontId="13" fillId="8" borderId="18" xfId="4" applyFont="1" applyFill="1" applyBorder="1" applyAlignment="1">
      <alignment horizontal="center" vertical="center" wrapText="1"/>
    </xf>
    <xf numFmtId="0" fontId="13" fillId="8" borderId="19" xfId="4" applyFont="1" applyFill="1" applyBorder="1" applyAlignment="1">
      <alignment horizontal="center" vertical="center" wrapText="1"/>
    </xf>
    <xf numFmtId="0" fontId="14" fillId="4" borderId="21" xfId="4" applyFont="1" applyFill="1" applyBorder="1" applyAlignment="1">
      <alignment horizontal="left" vertical="center" wrapText="1"/>
    </xf>
    <xf numFmtId="164" fontId="22" fillId="4" borderId="21" xfId="4" applyNumberFormat="1" applyFont="1" applyFill="1" applyBorder="1" applyAlignment="1">
      <alignment horizontal="left" vertical="center"/>
    </xf>
    <xf numFmtId="0" fontId="14" fillId="4" borderId="21" xfId="4" applyFont="1" applyFill="1" applyBorder="1" applyAlignment="1">
      <alignment horizontal="left" vertical="top" wrapText="1"/>
    </xf>
    <xf numFmtId="0" fontId="15" fillId="4" borderId="21" xfId="4" applyFont="1" applyFill="1" applyBorder="1" applyAlignment="1">
      <alignment horizontal="left" vertical="top" wrapText="1"/>
    </xf>
    <xf numFmtId="49" fontId="15" fillId="4" borderId="21" xfId="4" applyNumberFormat="1" applyFont="1" applyFill="1" applyBorder="1" applyAlignment="1">
      <alignment horizontal="left" vertical="top" wrapText="1"/>
    </xf>
    <xf numFmtId="171" fontId="22" fillId="4" borderId="17" xfId="4" applyNumberFormat="1" applyFont="1" applyFill="1" applyBorder="1" applyAlignment="1">
      <alignment horizontal="left" vertical="center" wrapText="1"/>
    </xf>
    <xf numFmtId="171" fontId="22" fillId="4" borderId="18" xfId="4" applyNumberFormat="1" applyFont="1" applyFill="1" applyBorder="1" applyAlignment="1">
      <alignment horizontal="left" vertical="center" wrapText="1"/>
    </xf>
    <xf numFmtId="171" fontId="22" fillId="4" borderId="19" xfId="4" applyNumberFormat="1" applyFont="1" applyFill="1" applyBorder="1" applyAlignment="1">
      <alignment horizontal="left" vertical="center" wrapText="1"/>
    </xf>
    <xf numFmtId="49" fontId="15" fillId="4" borderId="17" xfId="4" applyNumberFormat="1" applyFont="1" applyFill="1" applyBorder="1" applyAlignment="1">
      <alignment horizontal="left" vertical="center" wrapText="1"/>
    </xf>
    <xf numFmtId="0" fontId="13" fillId="8" borderId="23" xfId="4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21" fillId="6" borderId="3" xfId="0" applyFont="1" applyFill="1" applyBorder="1" applyAlignment="1">
      <alignment horizontal="left" vertical="center" wrapText="1"/>
    </xf>
    <xf numFmtId="0" fontId="21" fillId="6" borderId="9" xfId="0" applyFont="1" applyFill="1" applyBorder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12" xfId="0" applyFont="1" applyFill="1" applyBorder="1" applyAlignment="1">
      <alignment horizontal="center" vertical="center" wrapText="1"/>
    </xf>
    <xf numFmtId="0" fontId="20" fillId="6" borderId="13" xfId="0" applyFont="1" applyFill="1" applyBorder="1" applyAlignment="1">
      <alignment horizontal="center" vertical="center" wrapText="1"/>
    </xf>
    <xf numFmtId="0" fontId="20" fillId="6" borderId="1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 wrapText="1"/>
    </xf>
    <xf numFmtId="0" fontId="20" fillId="6" borderId="9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4" fillId="8" borderId="4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7" fillId="8" borderId="21" xfId="0" applyFont="1" applyFill="1" applyBorder="1" applyAlignment="1">
      <alignment horizontal="center" vertical="center"/>
    </xf>
  </cellXfs>
  <cellStyles count="11">
    <cellStyle name="Moeda" xfId="1" builtinId="4"/>
    <cellStyle name="Moeda 2" xfId="8" xr:uid="{2153FD98-135D-480F-8BF9-61E8E505D7F8}"/>
    <cellStyle name="Normal" xfId="0" builtinId="0"/>
    <cellStyle name="Normal 2" xfId="3" xr:uid="{00000000-0005-0000-0000-000006000000}"/>
    <cellStyle name="Normal 3" xfId="7" xr:uid="{5DFA51CC-9155-490F-9555-2FF5C16EBFF2}"/>
    <cellStyle name="Normal 4" xfId="9" xr:uid="{6D6B29CB-233E-4D70-A7DD-3FB954F61FD2}"/>
    <cellStyle name="Porcentagem" xfId="2" builtinId="5"/>
    <cellStyle name="Porcentagem 2" xfId="6" xr:uid="{2471ECED-5228-4FA0-BC27-754CCBE00305}"/>
    <cellStyle name="TableStyleLight1" xfId="4" xr:uid="{00000000-0005-0000-0000-000007000000}"/>
    <cellStyle name="TableStyleLight1 2" xfId="5" xr:uid="{EAC7E34F-9839-4F72-9D52-C69C174952DE}"/>
    <cellStyle name="TableStyleLight1 3" xfId="10" xr:uid="{13E93FEC-D407-4195-BECC-69995D0C6329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EEEEEE"/>
      <rgbColor rgb="FFDAE3F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9FF99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1579320</xdr:colOff>
      <xdr:row>1</xdr:row>
      <xdr:rowOff>97920</xdr:rowOff>
    </xdr:from>
    <xdr:to>
      <xdr:col>5</xdr:col>
      <xdr:colOff>49070</xdr:colOff>
      <xdr:row>1</xdr:row>
      <xdr:rowOff>1178640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05200" y="97920"/>
          <a:ext cx="2636280" cy="10807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2095501</xdr:colOff>
      <xdr:row>1</xdr:row>
      <xdr:rowOff>207818</xdr:rowOff>
    </xdr:from>
    <xdr:to>
      <xdr:col>4</xdr:col>
      <xdr:colOff>383102</xdr:colOff>
      <xdr:row>1</xdr:row>
      <xdr:rowOff>1149938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45D546AA-56B8-4E14-97B8-18FC568828F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11137" y="207818"/>
          <a:ext cx="1967715" cy="942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21</xdr:row>
      <xdr:rowOff>20880</xdr:rowOff>
    </xdr:from>
    <xdr:ext cx="6434842" cy="801720"/>
    <xdr:pic>
      <xdr:nvPicPr>
        <xdr:cNvPr id="2" name="Figura 1">
          <a:extLst>
            <a:ext uri="{FF2B5EF4-FFF2-40B4-BE49-F238E27FC236}">
              <a16:creationId xmlns:a16="http://schemas.microsoft.com/office/drawing/2014/main" id="{F6DDC2CA-5706-4678-BBB8-CECC419907F3}"/>
            </a:ext>
          </a:extLst>
        </xdr:cNvPr>
        <xdr:cNvPicPr/>
      </xdr:nvPicPr>
      <xdr:blipFill>
        <a:blip xmlns:r="http://schemas.openxmlformats.org/officeDocument/2006/relationships" r:embed="rId1"/>
        <a:srcRect l="7854" t="45774" r="13916" b="37685"/>
        <a:stretch/>
      </xdr:blipFill>
      <xdr:spPr>
        <a:xfrm>
          <a:off x="428625" y="3964230"/>
          <a:ext cx="6434842" cy="801720"/>
        </a:xfrm>
        <a:prstGeom prst="rect">
          <a:avLst/>
        </a:prstGeom>
        <a:ln w="0">
          <a:noFill/>
        </a:ln>
      </xdr:spPr>
    </xdr:pic>
    <xdr:clientData/>
  </xdr:oneCellAnchor>
  <xdr:oneCellAnchor>
    <xdr:from>
      <xdr:col>1</xdr:col>
      <xdr:colOff>142541</xdr:colOff>
      <xdr:row>25</xdr:row>
      <xdr:rowOff>61465</xdr:rowOff>
    </xdr:from>
    <xdr:ext cx="6222262" cy="630011"/>
    <xdr:pic>
      <xdr:nvPicPr>
        <xdr:cNvPr id="3" name="Figura 2">
          <a:extLst>
            <a:ext uri="{FF2B5EF4-FFF2-40B4-BE49-F238E27FC236}">
              <a16:creationId xmlns:a16="http://schemas.microsoft.com/office/drawing/2014/main" id="{A628B5E9-388F-4157-9F17-18E9B60EA24B}"/>
            </a:ext>
          </a:extLst>
        </xdr:cNvPr>
        <xdr:cNvPicPr/>
      </xdr:nvPicPr>
      <xdr:blipFill>
        <a:blip xmlns:r="http://schemas.openxmlformats.org/officeDocument/2006/relationships" r:embed="rId2"/>
        <a:srcRect l="17758" t="51097" r="20982" b="38299"/>
        <a:stretch/>
      </xdr:blipFill>
      <xdr:spPr>
        <a:xfrm>
          <a:off x="571166" y="6138415"/>
          <a:ext cx="6222262" cy="630011"/>
        </a:xfrm>
        <a:prstGeom prst="rect">
          <a:avLst/>
        </a:prstGeom>
        <a:ln w="0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FF"/>
  </sheetPr>
  <dimension ref="B1:IT65541"/>
  <sheetViews>
    <sheetView showGridLines="0" tabSelected="1" zoomScale="110" zoomScaleNormal="110" workbookViewId="0">
      <selection activeCell="B13" sqref="B13"/>
    </sheetView>
  </sheetViews>
  <sheetFormatPr defaultRowHeight="14.25"/>
  <cols>
    <col min="1" max="1" width="5.625" customWidth="1"/>
    <col min="2" max="2" width="5.5" style="5" customWidth="1"/>
    <col min="3" max="3" width="42.125" style="5" customWidth="1"/>
    <col min="4" max="4" width="6.125" style="5" customWidth="1"/>
    <col min="5" max="5" width="5.625" style="5" customWidth="1"/>
    <col min="6" max="6" width="15.25" style="5" customWidth="1"/>
    <col min="7" max="7" width="20" style="5" customWidth="1"/>
    <col min="8" max="254" width="10.625" style="5" customWidth="1"/>
    <col min="255" max="1026" width="10.5" customWidth="1"/>
  </cols>
  <sheetData>
    <row r="1" spans="2:7" ht="15" customHeight="1"/>
    <row r="2" spans="2:7" ht="103.7" customHeight="1">
      <c r="B2" s="196"/>
      <c r="C2" s="197"/>
      <c r="D2" s="197"/>
      <c r="E2" s="197"/>
      <c r="F2" s="197"/>
      <c r="G2" s="198"/>
    </row>
    <row r="3" spans="2:7" ht="18" customHeight="1">
      <c r="B3" s="4"/>
      <c r="C3" s="4"/>
      <c r="D3" s="4"/>
      <c r="E3" s="4"/>
      <c r="F3" s="4"/>
      <c r="G3" s="4"/>
    </row>
    <row r="4" spans="2:7" ht="18" customHeight="1">
      <c r="B4" s="199" t="s">
        <v>317</v>
      </c>
      <c r="C4" s="200"/>
      <c r="D4" s="200"/>
      <c r="E4" s="200"/>
      <c r="F4" s="200"/>
      <c r="G4" s="201"/>
    </row>
    <row r="5" spans="2:7" ht="18" customHeight="1">
      <c r="B5" s="4"/>
      <c r="C5" s="4"/>
      <c r="D5" s="4"/>
      <c r="E5" s="4"/>
      <c r="F5" s="4"/>
      <c r="G5" s="4"/>
    </row>
    <row r="6" spans="2:7" ht="20.100000000000001" customHeight="1">
      <c r="B6" s="202" t="s">
        <v>0</v>
      </c>
      <c r="C6" s="203"/>
      <c r="D6" s="203"/>
      <c r="E6" s="203"/>
      <c r="F6" s="203"/>
      <c r="G6" s="204"/>
    </row>
    <row r="7" spans="2:7" ht="20.100000000000001" customHeight="1">
      <c r="B7" s="209" t="s">
        <v>1</v>
      </c>
      <c r="C7" s="210"/>
      <c r="D7" s="210"/>
      <c r="E7" s="210"/>
      <c r="F7" s="210"/>
      <c r="G7" s="211"/>
    </row>
    <row r="8" spans="2:7" ht="20.100000000000001" customHeight="1">
      <c r="B8" s="205" t="s">
        <v>2</v>
      </c>
      <c r="C8" s="206"/>
      <c r="D8" s="206"/>
      <c r="E8" s="206"/>
      <c r="F8" s="206"/>
      <c r="G8" s="207"/>
    </row>
    <row r="9" spans="2:7" ht="15.75" customHeight="1">
      <c r="B9" s="4"/>
      <c r="C9" s="4"/>
      <c r="D9" s="4"/>
      <c r="E9" s="4"/>
      <c r="F9" s="4"/>
      <c r="G9" s="4"/>
    </row>
    <row r="10" spans="2:7" ht="42.2" customHeight="1">
      <c r="B10" s="121" t="s">
        <v>3</v>
      </c>
      <c r="C10" s="121" t="s">
        <v>4</v>
      </c>
      <c r="D10" s="121" t="s">
        <v>5</v>
      </c>
      <c r="E10" s="121" t="s">
        <v>6</v>
      </c>
      <c r="F10" s="121" t="s">
        <v>7</v>
      </c>
      <c r="G10" s="121" t="s">
        <v>8</v>
      </c>
    </row>
    <row r="11" spans="2:7" ht="81.599999999999994" customHeight="1">
      <c r="B11" s="122">
        <v>10</v>
      </c>
      <c r="C11" s="123" t="s">
        <v>9</v>
      </c>
      <c r="D11" s="124" t="s">
        <v>10</v>
      </c>
      <c r="E11" s="124">
        <v>12</v>
      </c>
      <c r="F11" s="125">
        <f>ROUND(Resumo!D6+Resumo!F6,2)</f>
        <v>102860.05</v>
      </c>
      <c r="G11" s="126">
        <f>F11*12</f>
        <v>1234320.6000000001</v>
      </c>
    </row>
    <row r="12" spans="2:7" ht="42.4" customHeight="1">
      <c r="B12" s="208" t="s">
        <v>318</v>
      </c>
      <c r="C12" s="208"/>
      <c r="D12" s="208"/>
      <c r="E12" s="208"/>
      <c r="F12" s="208"/>
      <c r="G12" s="208"/>
    </row>
    <row r="65541" ht="12.75" customHeight="1"/>
  </sheetData>
  <mergeCells count="6">
    <mergeCell ref="B2:G2"/>
    <mergeCell ref="B4:G4"/>
    <mergeCell ref="B6:G6"/>
    <mergeCell ref="B8:G8"/>
    <mergeCell ref="B12:G12"/>
    <mergeCell ref="B7:G7"/>
  </mergeCells>
  <printOptions horizont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FF"/>
  </sheetPr>
  <dimension ref="B1:I32"/>
  <sheetViews>
    <sheetView showGridLines="0" zoomScale="108" zoomScaleNormal="108" workbookViewId="0">
      <selection activeCell="L6" sqref="L6"/>
    </sheetView>
  </sheetViews>
  <sheetFormatPr defaultRowHeight="14.25"/>
  <cols>
    <col min="1" max="1" width="5.625" customWidth="1"/>
    <col min="2" max="2" width="3" customWidth="1"/>
    <col min="3" max="3" width="12.25" customWidth="1"/>
    <col min="4" max="4" width="60" customWidth="1"/>
    <col min="5" max="5" width="30" customWidth="1"/>
    <col min="6" max="6" width="10" customWidth="1"/>
    <col min="7" max="7" width="13.75" customWidth="1"/>
    <col min="8" max="8" width="12" customWidth="1"/>
    <col min="9" max="9" width="14" customWidth="1"/>
    <col min="10" max="1026" width="8.625" customWidth="1"/>
  </cols>
  <sheetData>
    <row r="1" spans="2:9" ht="15" customHeight="1"/>
    <row r="2" spans="2:9" ht="24.75" customHeight="1">
      <c r="B2" s="271" t="s">
        <v>132</v>
      </c>
      <c r="C2" s="271"/>
      <c r="D2" s="271"/>
      <c r="E2" s="271"/>
      <c r="F2" s="271"/>
      <c r="G2" s="271"/>
      <c r="H2" s="271"/>
      <c r="I2" s="271"/>
    </row>
    <row r="3" spans="2:9" ht="21" customHeight="1"/>
    <row r="4" spans="2:9" ht="17.100000000000001" customHeight="1">
      <c r="B4" s="289" t="s">
        <v>133</v>
      </c>
      <c r="C4" s="289"/>
      <c r="D4" s="289"/>
      <c r="E4" s="289"/>
      <c r="F4" s="289"/>
      <c r="G4" s="289"/>
      <c r="H4" s="289"/>
      <c r="I4" s="289"/>
    </row>
    <row r="5" spans="2:9" ht="17.100000000000001" customHeight="1">
      <c r="B5" s="282" t="s">
        <v>134</v>
      </c>
      <c r="C5" s="282"/>
      <c r="D5" s="283" t="s">
        <v>135</v>
      </c>
      <c r="E5" s="283"/>
      <c r="F5" s="283"/>
      <c r="G5" s="283"/>
      <c r="H5" s="283"/>
      <c r="I5" s="283"/>
    </row>
    <row r="6" spans="2:9" ht="17.100000000000001" customHeight="1">
      <c r="B6" s="282" t="s">
        <v>120</v>
      </c>
      <c r="C6" s="282"/>
      <c r="D6" s="283" t="s">
        <v>136</v>
      </c>
      <c r="E6" s="283"/>
      <c r="F6" s="283"/>
      <c r="G6" s="283"/>
      <c r="H6" s="283"/>
      <c r="I6" s="283"/>
    </row>
    <row r="7" spans="2:9" ht="17.100000000000001" customHeight="1">
      <c r="B7" s="282" t="s">
        <v>137</v>
      </c>
      <c r="C7" s="282"/>
      <c r="D7" s="284" t="s">
        <v>236</v>
      </c>
      <c r="E7" s="284"/>
      <c r="F7" s="284"/>
      <c r="G7" s="284"/>
      <c r="H7" s="284"/>
      <c r="I7" s="284"/>
    </row>
    <row r="8" spans="2:9" ht="17.100000000000001" customHeight="1">
      <c r="B8" s="282" t="s">
        <v>138</v>
      </c>
      <c r="C8" s="282"/>
      <c r="D8" s="283" t="s">
        <v>139</v>
      </c>
      <c r="E8" s="283"/>
      <c r="F8" s="283"/>
      <c r="G8" s="283"/>
      <c r="H8" s="283"/>
      <c r="I8" s="283"/>
    </row>
    <row r="9" spans="2:9" ht="17.100000000000001" customHeight="1">
      <c r="B9" s="282" t="s">
        <v>140</v>
      </c>
      <c r="C9" s="282"/>
      <c r="D9" s="283" t="s">
        <v>141</v>
      </c>
      <c r="E9" s="283"/>
      <c r="F9" s="283"/>
      <c r="G9" s="283"/>
      <c r="H9" s="283"/>
      <c r="I9" s="283"/>
    </row>
    <row r="10" spans="2:9" ht="17.100000000000001" customHeight="1">
      <c r="B10" s="282" t="s">
        <v>121</v>
      </c>
      <c r="C10" s="282"/>
      <c r="D10" s="283" t="s">
        <v>125</v>
      </c>
      <c r="E10" s="283"/>
      <c r="F10" s="283"/>
      <c r="G10" s="283"/>
      <c r="H10" s="283"/>
      <c r="I10" s="283"/>
    </row>
    <row r="11" spans="2:9" ht="23.85" customHeight="1">
      <c r="B11" s="280" t="s">
        <v>142</v>
      </c>
      <c r="C11" s="280"/>
      <c r="D11" s="281">
        <f>SUM(I14:I18)</f>
        <v>50.55</v>
      </c>
      <c r="E11" s="281"/>
      <c r="F11" s="281"/>
      <c r="G11" s="281"/>
      <c r="H11" s="281"/>
      <c r="I11" s="281"/>
    </row>
    <row r="12" spans="2:9" ht="15.75" customHeight="1">
      <c r="B12" s="104"/>
      <c r="C12" s="104"/>
      <c r="D12" s="105"/>
      <c r="E12" s="105"/>
      <c r="F12" s="105"/>
      <c r="G12" s="105"/>
      <c r="H12" s="105"/>
      <c r="I12" s="105"/>
    </row>
    <row r="13" spans="2:9" ht="29.65" customHeight="1">
      <c r="B13" s="106"/>
      <c r="C13" s="106" t="s">
        <v>143</v>
      </c>
      <c r="D13" s="106" t="s">
        <v>120</v>
      </c>
      <c r="E13" s="106" t="s">
        <v>140</v>
      </c>
      <c r="F13" s="106" t="s">
        <v>121</v>
      </c>
      <c r="G13" s="106" t="s">
        <v>142</v>
      </c>
      <c r="H13" s="106" t="s">
        <v>144</v>
      </c>
      <c r="I13" s="106" t="s">
        <v>142</v>
      </c>
    </row>
    <row r="14" spans="2:9" ht="28.35" customHeight="1">
      <c r="B14" s="108" t="s">
        <v>145</v>
      </c>
      <c r="C14" s="108" t="s">
        <v>146</v>
      </c>
      <c r="D14" s="107" t="s">
        <v>147</v>
      </c>
      <c r="E14" s="107" t="s">
        <v>141</v>
      </c>
      <c r="F14" s="108" t="s">
        <v>148</v>
      </c>
      <c r="G14" s="108">
        <v>4.8600000000000003</v>
      </c>
      <c r="H14" s="108" t="s">
        <v>149</v>
      </c>
      <c r="I14" s="108">
        <f>G14*H14</f>
        <v>4.8600000000000003</v>
      </c>
    </row>
    <row r="15" spans="2:9" ht="28.35" customHeight="1">
      <c r="B15" s="108" t="s">
        <v>145</v>
      </c>
      <c r="C15" s="108" t="s">
        <v>150</v>
      </c>
      <c r="D15" s="107" t="s">
        <v>151</v>
      </c>
      <c r="E15" s="107" t="s">
        <v>141</v>
      </c>
      <c r="F15" s="108" t="s">
        <v>148</v>
      </c>
      <c r="G15" s="108">
        <v>1.49</v>
      </c>
      <c r="H15" s="108" t="s">
        <v>149</v>
      </c>
      <c r="I15" s="108">
        <f>G15*H15</f>
        <v>1.49</v>
      </c>
    </row>
    <row r="16" spans="2:9" ht="42.6" customHeight="1">
      <c r="B16" s="108" t="s">
        <v>145</v>
      </c>
      <c r="C16" s="108" t="s">
        <v>152</v>
      </c>
      <c r="D16" s="107" t="s">
        <v>153</v>
      </c>
      <c r="E16" s="107" t="s">
        <v>141</v>
      </c>
      <c r="F16" s="108" t="s">
        <v>148</v>
      </c>
      <c r="G16" s="108">
        <v>0.6</v>
      </c>
      <c r="H16" s="108" t="s">
        <v>149</v>
      </c>
      <c r="I16" s="108">
        <f>G16*H16</f>
        <v>0.6</v>
      </c>
    </row>
    <row r="17" spans="2:9" ht="28.35" customHeight="1">
      <c r="B17" s="108" t="s">
        <v>145</v>
      </c>
      <c r="C17" s="108" t="s">
        <v>154</v>
      </c>
      <c r="D17" s="107" t="s">
        <v>155</v>
      </c>
      <c r="E17" s="107" t="s">
        <v>141</v>
      </c>
      <c r="F17" s="108" t="s">
        <v>148</v>
      </c>
      <c r="G17" s="108">
        <v>6.07</v>
      </c>
      <c r="H17" s="108" t="s">
        <v>149</v>
      </c>
      <c r="I17" s="108">
        <f>G17*H17</f>
        <v>6.07</v>
      </c>
    </row>
    <row r="18" spans="2:9" ht="42.6" customHeight="1">
      <c r="B18" s="108" t="s">
        <v>145</v>
      </c>
      <c r="C18" s="108" t="s">
        <v>156</v>
      </c>
      <c r="D18" s="107" t="s">
        <v>157</v>
      </c>
      <c r="E18" s="107" t="s">
        <v>141</v>
      </c>
      <c r="F18" s="108" t="s">
        <v>148</v>
      </c>
      <c r="G18" s="108">
        <v>37.53</v>
      </c>
      <c r="H18" s="108" t="s">
        <v>149</v>
      </c>
      <c r="I18" s="108">
        <f>G18*H18</f>
        <v>37.53</v>
      </c>
    </row>
    <row r="19" spans="2:9" ht="28.35" customHeight="1"/>
    <row r="20" spans="2:9" ht="17.100000000000001" customHeight="1">
      <c r="B20" s="277" t="s">
        <v>158</v>
      </c>
      <c r="C20" s="278"/>
      <c r="D20" s="278"/>
      <c r="E20" s="278"/>
      <c r="F20" s="278"/>
      <c r="G20" s="278"/>
      <c r="H20" s="278"/>
      <c r="I20" s="279"/>
    </row>
    <row r="21" spans="2:9" ht="17.100000000000001" customHeight="1">
      <c r="B21" s="272" t="s">
        <v>134</v>
      </c>
      <c r="C21" s="273"/>
      <c r="D21" s="274" t="s">
        <v>159</v>
      </c>
      <c r="E21" s="275"/>
      <c r="F21" s="275"/>
      <c r="G21" s="275"/>
      <c r="H21" s="275"/>
      <c r="I21" s="276"/>
    </row>
    <row r="22" spans="2:9" ht="17.100000000000001" customHeight="1">
      <c r="B22" s="272" t="s">
        <v>120</v>
      </c>
      <c r="C22" s="273"/>
      <c r="D22" s="274" t="s">
        <v>160</v>
      </c>
      <c r="E22" s="275"/>
      <c r="F22" s="275"/>
      <c r="G22" s="275"/>
      <c r="H22" s="275"/>
      <c r="I22" s="276"/>
    </row>
    <row r="23" spans="2:9" ht="17.100000000000001" customHeight="1">
      <c r="B23" s="272" t="s">
        <v>137</v>
      </c>
      <c r="C23" s="273"/>
      <c r="D23" s="288" t="str">
        <f>D7</f>
        <v>10/2023</v>
      </c>
      <c r="E23" s="275"/>
      <c r="F23" s="275"/>
      <c r="G23" s="275"/>
      <c r="H23" s="275"/>
      <c r="I23" s="276"/>
    </row>
    <row r="24" spans="2:9" ht="17.100000000000001" customHeight="1">
      <c r="B24" s="272" t="s">
        <v>138</v>
      </c>
      <c r="C24" s="273"/>
      <c r="D24" s="274" t="str">
        <f>D8</f>
        <v>Rio Grande do Sul</v>
      </c>
      <c r="E24" s="275"/>
      <c r="F24" s="275"/>
      <c r="G24" s="275"/>
      <c r="H24" s="275"/>
      <c r="I24" s="276"/>
    </row>
    <row r="25" spans="2:9" ht="17.100000000000001" customHeight="1">
      <c r="B25" s="272" t="s">
        <v>140</v>
      </c>
      <c r="C25" s="273"/>
      <c r="D25" s="274" t="s">
        <v>141</v>
      </c>
      <c r="E25" s="275"/>
      <c r="F25" s="275"/>
      <c r="G25" s="275"/>
      <c r="H25" s="275"/>
      <c r="I25" s="276"/>
    </row>
    <row r="26" spans="2:9" ht="17.100000000000001" customHeight="1">
      <c r="B26" s="272" t="s">
        <v>121</v>
      </c>
      <c r="C26" s="273"/>
      <c r="D26" s="274" t="s">
        <v>127</v>
      </c>
      <c r="E26" s="275"/>
      <c r="F26" s="275"/>
      <c r="G26" s="275"/>
      <c r="H26" s="275"/>
      <c r="I26" s="276"/>
    </row>
    <row r="27" spans="2:9" ht="23.85" customHeight="1">
      <c r="B27" s="280" t="s">
        <v>142</v>
      </c>
      <c r="C27" s="280"/>
      <c r="D27" s="285">
        <f>SUM(I30:I32)</f>
        <v>6.95</v>
      </c>
      <c r="E27" s="286"/>
      <c r="F27" s="286"/>
      <c r="G27" s="286"/>
      <c r="H27" s="286"/>
      <c r="I27" s="287"/>
    </row>
    <row r="28" spans="2:9" ht="15.75" customHeight="1">
      <c r="B28" s="104"/>
      <c r="C28" s="104"/>
      <c r="D28" s="105"/>
      <c r="E28" s="105"/>
      <c r="F28" s="105"/>
      <c r="G28" s="105"/>
      <c r="H28" s="105"/>
      <c r="I28" s="105"/>
    </row>
    <row r="29" spans="2:9" ht="29.65" customHeight="1">
      <c r="B29" s="106"/>
      <c r="C29" s="106" t="s">
        <v>143</v>
      </c>
      <c r="D29" s="106" t="s">
        <v>120</v>
      </c>
      <c r="E29" s="106" t="s">
        <v>140</v>
      </c>
      <c r="F29" s="106" t="s">
        <v>121</v>
      </c>
      <c r="G29" s="106" t="s">
        <v>142</v>
      </c>
      <c r="H29" s="106" t="s">
        <v>144</v>
      </c>
      <c r="I29" s="106" t="s">
        <v>142</v>
      </c>
    </row>
    <row r="30" spans="2:9" ht="28.35" customHeight="1">
      <c r="B30" s="108" t="s">
        <v>145</v>
      </c>
      <c r="C30" s="108" t="s">
        <v>146</v>
      </c>
      <c r="D30" s="107" t="s">
        <v>147</v>
      </c>
      <c r="E30" s="107" t="s">
        <v>141</v>
      </c>
      <c r="F30" s="108" t="s">
        <v>148</v>
      </c>
      <c r="G30" s="108">
        <f>G14</f>
        <v>4.8600000000000003</v>
      </c>
      <c r="H30" s="108" t="s">
        <v>149</v>
      </c>
      <c r="I30" s="108">
        <f>G30*H30</f>
        <v>4.8600000000000003</v>
      </c>
    </row>
    <row r="31" spans="2:9" ht="28.35" customHeight="1">
      <c r="B31" s="108" t="s">
        <v>145</v>
      </c>
      <c r="C31" s="108" t="s">
        <v>150</v>
      </c>
      <c r="D31" s="107" t="s">
        <v>151</v>
      </c>
      <c r="E31" s="107" t="s">
        <v>141</v>
      </c>
      <c r="F31" s="108" t="s">
        <v>148</v>
      </c>
      <c r="G31" s="108">
        <f>G15</f>
        <v>1.49</v>
      </c>
      <c r="H31" s="108" t="s">
        <v>149</v>
      </c>
      <c r="I31" s="108">
        <f>G31*H31</f>
        <v>1.49</v>
      </c>
    </row>
    <row r="32" spans="2:9" ht="42.6" customHeight="1">
      <c r="B32" s="108" t="s">
        <v>145</v>
      </c>
      <c r="C32" s="108" t="s">
        <v>152</v>
      </c>
      <c r="D32" s="107" t="s">
        <v>153</v>
      </c>
      <c r="E32" s="107" t="s">
        <v>141</v>
      </c>
      <c r="F32" s="108" t="s">
        <v>148</v>
      </c>
      <c r="G32" s="108">
        <f>G16</f>
        <v>0.6</v>
      </c>
      <c r="H32" s="108" t="s">
        <v>149</v>
      </c>
      <c r="I32" s="108">
        <f>G32*H32</f>
        <v>0.6</v>
      </c>
    </row>
  </sheetData>
  <mergeCells count="31">
    <mergeCell ref="B4:I4"/>
    <mergeCell ref="B5:C5"/>
    <mergeCell ref="D5:I5"/>
    <mergeCell ref="B6:C6"/>
    <mergeCell ref="D6:I6"/>
    <mergeCell ref="B7:C7"/>
    <mergeCell ref="D7:I7"/>
    <mergeCell ref="B27:C27"/>
    <mergeCell ref="D27:I27"/>
    <mergeCell ref="B23:C23"/>
    <mergeCell ref="D23:I23"/>
    <mergeCell ref="B24:C24"/>
    <mergeCell ref="D24:I24"/>
    <mergeCell ref="B25:C25"/>
    <mergeCell ref="D25:I25"/>
    <mergeCell ref="B2:I2"/>
    <mergeCell ref="B26:C26"/>
    <mergeCell ref="D26:I26"/>
    <mergeCell ref="B20:I20"/>
    <mergeCell ref="B21:C21"/>
    <mergeCell ref="D21:I21"/>
    <mergeCell ref="B22:C22"/>
    <mergeCell ref="D22:I22"/>
    <mergeCell ref="B11:C11"/>
    <mergeCell ref="D11:I11"/>
    <mergeCell ref="B8:C8"/>
    <mergeCell ref="D8:I8"/>
    <mergeCell ref="B9:C9"/>
    <mergeCell ref="D9:I9"/>
    <mergeCell ref="B10:C10"/>
    <mergeCell ref="D10:I10"/>
  </mergeCells>
  <printOptions horizontalCentered="1"/>
  <pageMargins left="0.17708333333333301" right="0.134027777777778" top="0.374305555555556" bottom="0.32013888888888897" header="0.51180555555555496" footer="0.51180555555555496"/>
  <pageSetup paperSize="9" firstPageNumber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</sheetPr>
  <dimension ref="B1:IY23"/>
  <sheetViews>
    <sheetView showGridLines="0" zoomScaleNormal="100" workbookViewId="0">
      <selection activeCell="P11" sqref="P11"/>
    </sheetView>
  </sheetViews>
  <sheetFormatPr defaultRowHeight="14.25"/>
  <cols>
    <col min="1" max="1" width="5.625" customWidth="1"/>
    <col min="2" max="2" width="15.125" style="7" customWidth="1"/>
    <col min="3" max="3" width="16.25" style="8" customWidth="1"/>
    <col min="4" max="4" width="31.875" style="7" customWidth="1"/>
    <col min="5" max="5" width="36.875" style="7" bestFit="1" customWidth="1"/>
    <col min="6" max="6" width="15.25" style="8" customWidth="1"/>
    <col min="7" max="7" width="9" style="7" customWidth="1"/>
    <col min="8" max="8" width="9.125" style="7" customWidth="1"/>
    <col min="9" max="9" width="12" style="7" customWidth="1"/>
    <col min="10" max="11" width="11.25" style="7" customWidth="1"/>
    <col min="12" max="12" width="10.375" style="7" customWidth="1"/>
    <col min="13" max="13" width="10.5" style="7" customWidth="1"/>
    <col min="14" max="14" width="12.5" style="7" customWidth="1"/>
    <col min="15" max="259" width="10.5" style="7" customWidth="1"/>
    <col min="260" max="1024" width="10.375" customWidth="1"/>
  </cols>
  <sheetData>
    <row r="1" spans="2:14" ht="15" customHeight="1"/>
    <row r="2" spans="2:14" s="45" customFormat="1" ht="29.25" customHeight="1">
      <c r="B2" s="290" t="str">
        <f>"RELAÇÃO DE UNIDADES DO "&amp;'Valor da Contratação'!B7&amp;""</f>
        <v>RELAÇÃO DE UNIDADES DO POLO X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2"/>
    </row>
    <row r="3" spans="2:14" s="7" customFormat="1" ht="15" customHeight="1"/>
    <row r="4" spans="2:14" ht="66.75" customHeight="1">
      <c r="B4" s="71" t="s">
        <v>161</v>
      </c>
      <c r="C4" s="71" t="s">
        <v>11</v>
      </c>
      <c r="D4" s="71" t="s">
        <v>37</v>
      </c>
      <c r="E4" s="71" t="s">
        <v>162</v>
      </c>
      <c r="F4" s="71" t="s">
        <v>163</v>
      </c>
      <c r="G4" s="71" t="s">
        <v>164</v>
      </c>
      <c r="H4" s="71" t="s">
        <v>67</v>
      </c>
      <c r="I4" s="71" t="s">
        <v>165</v>
      </c>
      <c r="J4" s="71" t="s">
        <v>166</v>
      </c>
      <c r="K4" s="71" t="s">
        <v>167</v>
      </c>
      <c r="L4" s="71" t="s">
        <v>168</v>
      </c>
      <c r="M4" s="71" t="s">
        <v>169</v>
      </c>
      <c r="N4" s="71" t="s">
        <v>170</v>
      </c>
    </row>
    <row r="5" spans="2:14" ht="18" customHeight="1">
      <c r="B5" s="11" t="s">
        <v>19</v>
      </c>
      <c r="C5" s="11" t="s">
        <v>19</v>
      </c>
      <c r="D5" s="55" t="s">
        <v>77</v>
      </c>
      <c r="E5" s="56" t="s">
        <v>171</v>
      </c>
      <c r="F5" s="50">
        <v>3.27</v>
      </c>
      <c r="G5" s="57">
        <v>0.03</v>
      </c>
      <c r="H5" s="57">
        <f>HLOOKUP(G5,BDI!$C$19:$I$30,12,)</f>
        <v>0.2979</v>
      </c>
      <c r="I5" s="52">
        <v>452.2</v>
      </c>
      <c r="J5" s="52">
        <v>391.69</v>
      </c>
      <c r="K5" s="52">
        <v>60.51</v>
      </c>
      <c r="L5" s="52">
        <v>0</v>
      </c>
      <c r="M5" s="52" t="s">
        <v>172</v>
      </c>
      <c r="N5" s="52" t="s">
        <v>173</v>
      </c>
    </row>
    <row r="6" spans="2:14" ht="18" customHeight="1">
      <c r="B6" s="11" t="s">
        <v>19</v>
      </c>
      <c r="C6" s="11" t="s">
        <v>19</v>
      </c>
      <c r="D6" s="55" t="s">
        <v>79</v>
      </c>
      <c r="E6" s="58" t="s">
        <v>174</v>
      </c>
      <c r="F6" s="50">
        <v>4.7300000000000004</v>
      </c>
      <c r="G6" s="57">
        <v>0.02</v>
      </c>
      <c r="H6" s="57">
        <f>HLOOKUP(G6,BDI!$C$19:$I$30,12,)</f>
        <v>0.28349999999999997</v>
      </c>
      <c r="I6" s="52">
        <v>1215.58</v>
      </c>
      <c r="J6" s="52">
        <v>869.15</v>
      </c>
      <c r="K6" s="52">
        <v>231.03</v>
      </c>
      <c r="L6" s="52">
        <v>115.4</v>
      </c>
      <c r="M6" s="52" t="s">
        <v>172</v>
      </c>
      <c r="N6" s="52" t="s">
        <v>173</v>
      </c>
    </row>
    <row r="7" spans="2:14" ht="18" customHeight="1">
      <c r="B7" s="11" t="s">
        <v>19</v>
      </c>
      <c r="C7" s="11" t="s">
        <v>19</v>
      </c>
      <c r="D7" s="55" t="s">
        <v>81</v>
      </c>
      <c r="E7" s="58" t="s">
        <v>175</v>
      </c>
      <c r="F7" s="50">
        <v>2.4700000000000002</v>
      </c>
      <c r="G7" s="57">
        <v>0.02</v>
      </c>
      <c r="H7" s="57">
        <f>HLOOKUP(G7,BDI!$C$19:$I$30,12,)</f>
        <v>0.28349999999999997</v>
      </c>
      <c r="I7" s="52">
        <v>934.97</v>
      </c>
      <c r="J7" s="52">
        <v>479.45</v>
      </c>
      <c r="K7" s="52">
        <v>44.68</v>
      </c>
      <c r="L7" s="52">
        <v>410.84</v>
      </c>
      <c r="M7" s="52" t="s">
        <v>172</v>
      </c>
      <c r="N7" s="52" t="s">
        <v>173</v>
      </c>
    </row>
    <row r="8" spans="2:14" ht="18" customHeight="1">
      <c r="B8" s="11" t="s">
        <v>19</v>
      </c>
      <c r="C8" s="11" t="s">
        <v>19</v>
      </c>
      <c r="D8" s="55" t="s">
        <v>82</v>
      </c>
      <c r="E8" s="56" t="s">
        <v>176</v>
      </c>
      <c r="F8" s="50">
        <v>2.73</v>
      </c>
      <c r="G8" s="57">
        <v>0.02</v>
      </c>
      <c r="H8" s="57">
        <f>HLOOKUP(G8,BDI!$C$19:$I$30,12,)</f>
        <v>0.28349999999999997</v>
      </c>
      <c r="I8" s="52">
        <v>934.97</v>
      </c>
      <c r="J8" s="52">
        <v>476.57</v>
      </c>
      <c r="K8" s="52">
        <v>51.08</v>
      </c>
      <c r="L8" s="52">
        <v>407.32</v>
      </c>
      <c r="M8" s="52" t="s">
        <v>172</v>
      </c>
      <c r="N8" s="52" t="s">
        <v>173</v>
      </c>
    </row>
    <row r="9" spans="2:14" ht="18" customHeight="1">
      <c r="B9" s="11" t="s">
        <v>19</v>
      </c>
      <c r="C9" s="11" t="s">
        <v>19</v>
      </c>
      <c r="D9" s="55" t="s">
        <v>83</v>
      </c>
      <c r="E9" s="56" t="s">
        <v>177</v>
      </c>
      <c r="F9" s="50">
        <v>2.97</v>
      </c>
      <c r="G9" s="57">
        <v>0.03</v>
      </c>
      <c r="H9" s="57">
        <f>HLOOKUP(G9,BDI!$C$19:$I$30,12,)</f>
        <v>0.2979</v>
      </c>
      <c r="I9" s="52">
        <v>1922.14</v>
      </c>
      <c r="J9" s="52">
        <v>598.09</v>
      </c>
      <c r="K9" s="52">
        <v>264.31</v>
      </c>
      <c r="L9" s="52">
        <v>1059.74</v>
      </c>
      <c r="M9" s="52" t="s">
        <v>173</v>
      </c>
      <c r="N9" s="52" t="s">
        <v>173</v>
      </c>
    </row>
    <row r="10" spans="2:14" ht="18" customHeight="1">
      <c r="B10" s="11" t="s">
        <v>19</v>
      </c>
      <c r="C10" s="11" t="s">
        <v>19</v>
      </c>
      <c r="D10" s="55" t="s">
        <v>85</v>
      </c>
      <c r="E10" s="56" t="s">
        <v>178</v>
      </c>
      <c r="F10" s="50">
        <v>1.62</v>
      </c>
      <c r="G10" s="57">
        <v>0.02</v>
      </c>
      <c r="H10" s="57">
        <f>HLOOKUP(G10,BDI!$C$19:$I$30,12,)</f>
        <v>0.28349999999999997</v>
      </c>
      <c r="I10" s="52">
        <v>766.68</v>
      </c>
      <c r="J10" s="52">
        <v>444.17</v>
      </c>
      <c r="K10" s="52">
        <v>322.51</v>
      </c>
      <c r="L10" s="52">
        <v>0</v>
      </c>
      <c r="M10" s="52" t="s">
        <v>172</v>
      </c>
      <c r="N10" s="52" t="s">
        <v>173</v>
      </c>
    </row>
    <row r="11" spans="2:14" ht="18" customHeight="1">
      <c r="B11" s="11" t="s">
        <v>19</v>
      </c>
      <c r="C11" s="11" t="s">
        <v>19</v>
      </c>
      <c r="D11" s="55" t="s">
        <v>86</v>
      </c>
      <c r="E11" s="56" t="s">
        <v>179</v>
      </c>
      <c r="F11" s="50">
        <v>4.67</v>
      </c>
      <c r="G11" s="57">
        <v>0.02</v>
      </c>
      <c r="H11" s="57">
        <f>HLOOKUP(G11,BDI!$C$19:$I$30,12,)</f>
        <v>0.28349999999999997</v>
      </c>
      <c r="I11" s="52">
        <v>542.08000000000004</v>
      </c>
      <c r="J11" s="52">
        <v>491</v>
      </c>
      <c r="K11" s="52">
        <v>51.08</v>
      </c>
      <c r="L11" s="52">
        <v>0</v>
      </c>
      <c r="M11" s="52" t="s">
        <v>172</v>
      </c>
      <c r="N11" s="52" t="s">
        <v>173</v>
      </c>
    </row>
    <row r="12" spans="2:14" ht="18" customHeight="1">
      <c r="B12" s="11" t="s">
        <v>19</v>
      </c>
      <c r="C12" s="11" t="s">
        <v>19</v>
      </c>
      <c r="D12" s="55" t="s">
        <v>88</v>
      </c>
      <c r="E12" s="56" t="s">
        <v>180</v>
      </c>
      <c r="F12" s="50">
        <v>3.07</v>
      </c>
      <c r="G12" s="57">
        <v>0.03</v>
      </c>
      <c r="H12" s="57">
        <f>HLOOKUP(G12,BDI!$C$19:$I$30,12,)</f>
        <v>0.2979</v>
      </c>
      <c r="I12" s="52">
        <v>2999.75</v>
      </c>
      <c r="J12" s="52">
        <v>976.87</v>
      </c>
      <c r="K12" s="52">
        <v>1046.01</v>
      </c>
      <c r="L12" s="52">
        <v>976.87</v>
      </c>
      <c r="M12" s="52" t="s">
        <v>172</v>
      </c>
      <c r="N12" s="52" t="s">
        <v>173</v>
      </c>
    </row>
    <row r="13" spans="2:14" ht="18" customHeight="1">
      <c r="B13" s="11" t="s">
        <v>19</v>
      </c>
      <c r="C13" s="11" t="s">
        <v>19</v>
      </c>
      <c r="D13" s="55" t="s">
        <v>90</v>
      </c>
      <c r="E13" s="56" t="s">
        <v>181</v>
      </c>
      <c r="F13" s="50">
        <v>3.17</v>
      </c>
      <c r="G13" s="57">
        <v>0.03</v>
      </c>
      <c r="H13" s="57">
        <f>HLOOKUP(G13,BDI!$C$19:$I$30,12,)</f>
        <v>0.2979</v>
      </c>
      <c r="I13" s="52">
        <v>1830.96</v>
      </c>
      <c r="J13" s="52">
        <v>722.14</v>
      </c>
      <c r="K13" s="52">
        <v>187.52</v>
      </c>
      <c r="L13" s="52">
        <v>921.3</v>
      </c>
      <c r="M13" s="52" t="s">
        <v>173</v>
      </c>
      <c r="N13" s="52" t="s">
        <v>173</v>
      </c>
    </row>
    <row r="14" spans="2:14" ht="18" customHeight="1">
      <c r="B14" s="11" t="s">
        <v>19</v>
      </c>
      <c r="C14" s="11" t="s">
        <v>19</v>
      </c>
      <c r="D14" s="55" t="s">
        <v>92</v>
      </c>
      <c r="E14" s="56" t="s">
        <v>182</v>
      </c>
      <c r="F14" s="50">
        <v>2.17</v>
      </c>
      <c r="G14" s="57">
        <v>0.02</v>
      </c>
      <c r="H14" s="57">
        <f>HLOOKUP(G14,BDI!$C$19:$I$30,12,)</f>
        <v>0.28349999999999997</v>
      </c>
      <c r="I14" s="52">
        <v>934.97</v>
      </c>
      <c r="J14" s="52">
        <v>479.45</v>
      </c>
      <c r="K14" s="52">
        <v>44.68</v>
      </c>
      <c r="L14" s="52">
        <v>410.84</v>
      </c>
      <c r="M14" s="52" t="s">
        <v>172</v>
      </c>
      <c r="N14" s="52" t="s">
        <v>173</v>
      </c>
    </row>
    <row r="15" spans="2:14" ht="18" customHeight="1">
      <c r="B15" s="11" t="s">
        <v>19</v>
      </c>
      <c r="C15" s="11" t="s">
        <v>19</v>
      </c>
      <c r="D15" s="55" t="s">
        <v>93</v>
      </c>
      <c r="E15" s="56" t="s">
        <v>183</v>
      </c>
      <c r="F15" s="50">
        <v>3.18</v>
      </c>
      <c r="G15" s="57">
        <v>0.02</v>
      </c>
      <c r="H15" s="57">
        <f>HLOOKUP(G15,BDI!$C$19:$I$30,12,)</f>
        <v>0.28349999999999997</v>
      </c>
      <c r="I15" s="52">
        <v>1714.42</v>
      </c>
      <c r="J15" s="52">
        <v>505.81</v>
      </c>
      <c r="K15" s="52">
        <v>1094.79</v>
      </c>
      <c r="L15" s="52">
        <v>113.82</v>
      </c>
      <c r="M15" s="52" t="s">
        <v>173</v>
      </c>
      <c r="N15" s="52" t="s">
        <v>173</v>
      </c>
    </row>
    <row r="16" spans="2:14" ht="18" customHeight="1">
      <c r="B16" s="11" t="s">
        <v>19</v>
      </c>
      <c r="C16" s="11" t="s">
        <v>19</v>
      </c>
      <c r="D16" s="55" t="s">
        <v>94</v>
      </c>
      <c r="E16" s="56" t="s">
        <v>184</v>
      </c>
      <c r="F16" s="50">
        <v>1.67</v>
      </c>
      <c r="G16" s="57">
        <v>0.03</v>
      </c>
      <c r="H16" s="57">
        <f>HLOOKUP(G16,BDI!$C$19:$I$30,12,)</f>
        <v>0.2979</v>
      </c>
      <c r="I16" s="52">
        <v>2444.66</v>
      </c>
      <c r="J16" s="52">
        <v>1561.38</v>
      </c>
      <c r="K16" s="52">
        <v>244.71</v>
      </c>
      <c r="L16" s="52">
        <v>638.57000000000005</v>
      </c>
      <c r="M16" s="52" t="s">
        <v>173</v>
      </c>
      <c r="N16" s="52" t="s">
        <v>173</v>
      </c>
    </row>
    <row r="17" spans="2:14" ht="18" customHeight="1">
      <c r="B17" s="11" t="s">
        <v>19</v>
      </c>
      <c r="C17" s="11" t="s">
        <v>19</v>
      </c>
      <c r="D17" s="55" t="s">
        <v>95</v>
      </c>
      <c r="E17" s="56" t="s">
        <v>185</v>
      </c>
      <c r="F17" s="50">
        <v>0</v>
      </c>
      <c r="G17" s="57">
        <v>0.02</v>
      </c>
      <c r="H17" s="57">
        <f>HLOOKUP(G17,BDI!$C$19:$I$30,12,)</f>
        <v>0.28349999999999997</v>
      </c>
      <c r="I17" s="52">
        <v>3799.13</v>
      </c>
      <c r="J17" s="52">
        <v>2126.86</v>
      </c>
      <c r="K17" s="52">
        <v>1672.27</v>
      </c>
      <c r="L17" s="52">
        <v>0</v>
      </c>
      <c r="M17" s="52" t="s">
        <v>172</v>
      </c>
      <c r="N17" s="52" t="s">
        <v>173</v>
      </c>
    </row>
    <row r="18" spans="2:14" ht="18" customHeight="1">
      <c r="B18" s="11" t="s">
        <v>19</v>
      </c>
      <c r="C18" s="11" t="s">
        <v>19</v>
      </c>
      <c r="D18" s="55" t="s">
        <v>96</v>
      </c>
      <c r="E18" s="56" t="s">
        <v>186</v>
      </c>
      <c r="F18" s="50">
        <v>1.5</v>
      </c>
      <c r="G18" s="57">
        <v>0.05</v>
      </c>
      <c r="H18" s="57">
        <f>HLOOKUP(G18,BDI!$C$19:$I$30,12,)</f>
        <v>0.32779999999999998</v>
      </c>
      <c r="I18" s="52">
        <v>2645.74</v>
      </c>
      <c r="J18" s="52">
        <v>632.79</v>
      </c>
      <c r="K18" s="52">
        <v>673.7</v>
      </c>
      <c r="L18" s="52">
        <v>1339.25</v>
      </c>
      <c r="M18" s="52" t="s">
        <v>172</v>
      </c>
      <c r="N18" s="52" t="s">
        <v>173</v>
      </c>
    </row>
    <row r="19" spans="2:14" ht="18" customHeight="1">
      <c r="B19" s="11" t="s">
        <v>19</v>
      </c>
      <c r="C19" s="11" t="s">
        <v>19</v>
      </c>
      <c r="D19" s="55" t="s">
        <v>97</v>
      </c>
      <c r="E19" s="56" t="s">
        <v>187</v>
      </c>
      <c r="F19" s="50">
        <v>3.07</v>
      </c>
      <c r="G19" s="57">
        <v>0.03</v>
      </c>
      <c r="H19" s="57">
        <f>HLOOKUP(G19,BDI!$C$19:$I$30,12,)</f>
        <v>0.2979</v>
      </c>
      <c r="I19" s="52">
        <v>934.97</v>
      </c>
      <c r="J19" s="52">
        <v>469.49</v>
      </c>
      <c r="K19" s="52">
        <v>58.16</v>
      </c>
      <c r="L19" s="52">
        <v>407.32</v>
      </c>
      <c r="M19" s="52" t="s">
        <v>172</v>
      </c>
      <c r="N19" s="52" t="s">
        <v>173</v>
      </c>
    </row>
    <row r="20" spans="2:14" ht="18" customHeight="1">
      <c r="B20" s="11" t="s">
        <v>188</v>
      </c>
      <c r="C20" s="11" t="s">
        <v>19</v>
      </c>
      <c r="D20" s="55" t="s">
        <v>98</v>
      </c>
      <c r="E20" s="56" t="s">
        <v>189</v>
      </c>
      <c r="F20" s="50">
        <v>7.97</v>
      </c>
      <c r="G20" s="57">
        <v>0.03</v>
      </c>
      <c r="H20" s="57">
        <f>HLOOKUP(G20,BDI!$C$19:$I$30,12,)</f>
        <v>0.2979</v>
      </c>
      <c r="I20" s="52">
        <v>797.24</v>
      </c>
      <c r="J20" s="52">
        <v>332.84</v>
      </c>
      <c r="K20" s="52">
        <v>464.4</v>
      </c>
      <c r="L20" s="52">
        <v>0</v>
      </c>
      <c r="M20" s="52" t="s">
        <v>172</v>
      </c>
      <c r="N20" s="52" t="s">
        <v>173</v>
      </c>
    </row>
    <row r="21" spans="2:14" ht="18" customHeight="1">
      <c r="B21" s="11" t="s">
        <v>188</v>
      </c>
      <c r="C21" s="11" t="s">
        <v>19</v>
      </c>
      <c r="D21" s="55" t="s">
        <v>99</v>
      </c>
      <c r="E21" s="56" t="s">
        <v>190</v>
      </c>
      <c r="F21" s="50">
        <v>5.93</v>
      </c>
      <c r="G21" s="57">
        <v>0.03</v>
      </c>
      <c r="H21" s="57">
        <f>HLOOKUP(G21,BDI!$C$19:$I$30,12,)</f>
        <v>0.2979</v>
      </c>
      <c r="I21" s="52">
        <v>636.35</v>
      </c>
      <c r="J21" s="52">
        <v>636.35</v>
      </c>
      <c r="K21" s="52">
        <v>0</v>
      </c>
      <c r="L21" s="52">
        <v>0</v>
      </c>
      <c r="M21" s="52" t="s">
        <v>172</v>
      </c>
      <c r="N21" s="52" t="s">
        <v>172</v>
      </c>
    </row>
    <row r="22" spans="2:14" ht="18" customHeight="1">
      <c r="B22" s="11" t="s">
        <v>191</v>
      </c>
      <c r="C22" s="11" t="s">
        <v>19</v>
      </c>
      <c r="D22" s="55" t="s">
        <v>100</v>
      </c>
      <c r="E22" s="56" t="s">
        <v>192</v>
      </c>
      <c r="F22" s="50">
        <v>3.47</v>
      </c>
      <c r="G22" s="57">
        <v>0.05</v>
      </c>
      <c r="H22" s="57">
        <f>HLOOKUP(G22,BDI!$C$19:$I$30,12,)</f>
        <v>0.32779999999999998</v>
      </c>
      <c r="I22" s="52">
        <v>453.85</v>
      </c>
      <c r="J22" s="52">
        <v>271.73</v>
      </c>
      <c r="K22" s="52">
        <v>150.88</v>
      </c>
      <c r="L22" s="52">
        <v>31.24</v>
      </c>
      <c r="M22" s="52" t="s">
        <v>172</v>
      </c>
      <c r="N22" s="52" t="s">
        <v>173</v>
      </c>
    </row>
    <row r="23" spans="2:14" ht="18" customHeight="1">
      <c r="B23" s="11" t="s">
        <v>191</v>
      </c>
      <c r="C23" s="11" t="s">
        <v>19</v>
      </c>
      <c r="D23" s="55" t="s">
        <v>101</v>
      </c>
      <c r="E23" s="56" t="s">
        <v>193</v>
      </c>
      <c r="F23" s="50">
        <v>3.37</v>
      </c>
      <c r="G23" s="57">
        <v>0.03</v>
      </c>
      <c r="H23" s="57">
        <f>HLOOKUP(G23,BDI!$C$19:$I$30,12,)</f>
        <v>0.2979</v>
      </c>
      <c r="I23" s="52">
        <v>888.44</v>
      </c>
      <c r="J23" s="52">
        <v>307.18</v>
      </c>
      <c r="K23" s="52">
        <v>460.85</v>
      </c>
      <c r="L23" s="52">
        <v>120.41</v>
      </c>
      <c r="M23" s="52" t="s">
        <v>172</v>
      </c>
      <c r="N23" s="52" t="s">
        <v>173</v>
      </c>
    </row>
  </sheetData>
  <mergeCells count="1">
    <mergeCell ref="B2:N2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FF"/>
  </sheetPr>
  <dimension ref="B1:J65537"/>
  <sheetViews>
    <sheetView showGridLines="0" zoomScale="110" zoomScaleNormal="110" workbookViewId="0">
      <selection activeCell="L18" sqref="L18"/>
    </sheetView>
  </sheetViews>
  <sheetFormatPr defaultRowHeight="14.25"/>
  <cols>
    <col min="1" max="1" width="5.625" customWidth="1"/>
    <col min="2" max="2" width="10.625" style="46" customWidth="1"/>
    <col min="3" max="3" width="35.625" style="26" customWidth="1"/>
    <col min="4" max="1022" width="10.375" customWidth="1"/>
  </cols>
  <sheetData>
    <row r="1" spans="2:10" ht="15" customHeight="1"/>
    <row r="2" spans="2:10" ht="20.100000000000001" customHeight="1">
      <c r="B2" s="312" t="s">
        <v>194</v>
      </c>
      <c r="C2" s="313"/>
      <c r="D2" s="313"/>
      <c r="E2" s="313"/>
      <c r="F2" s="313"/>
      <c r="G2" s="313"/>
      <c r="H2" s="313"/>
      <c r="I2" s="313"/>
      <c r="J2" s="314"/>
    </row>
    <row r="3" spans="2:10" ht="20.100000000000001" customHeight="1">
      <c r="B3" s="315" t="str">
        <f>'Valor da Contratação'!B8</f>
        <v>DESONERADA</v>
      </c>
      <c r="C3" s="316"/>
      <c r="D3" s="316"/>
      <c r="E3" s="316"/>
      <c r="F3" s="316"/>
      <c r="G3" s="316"/>
      <c r="H3" s="316"/>
      <c r="I3" s="316"/>
      <c r="J3" s="317"/>
    </row>
    <row r="4" spans="2:10" ht="15" customHeight="1">
      <c r="B4" s="47"/>
      <c r="C4" s="47"/>
      <c r="D4" s="9"/>
    </row>
    <row r="5" spans="2:10" ht="15" customHeight="1">
      <c r="B5" s="318" t="s">
        <v>195</v>
      </c>
      <c r="C5" s="319"/>
      <c r="D5" s="319"/>
      <c r="E5" s="319"/>
      <c r="F5" s="319"/>
      <c r="G5" s="319"/>
      <c r="H5" s="319"/>
      <c r="I5" s="319"/>
      <c r="J5" s="320"/>
    </row>
    <row r="6" spans="2:10" ht="15" customHeight="1">
      <c r="B6" s="74"/>
      <c r="C6" s="5"/>
      <c r="D6" s="54"/>
      <c r="E6" s="54"/>
      <c r="J6" s="75"/>
    </row>
    <row r="7" spans="2:10" ht="15" customHeight="1">
      <c r="B7" s="321" t="s">
        <v>196</v>
      </c>
      <c r="C7" s="322"/>
      <c r="D7" s="322"/>
      <c r="E7" s="322"/>
      <c r="F7" s="322"/>
      <c r="G7" s="322"/>
      <c r="H7" s="322"/>
      <c r="I7" s="322"/>
      <c r="J7" s="323"/>
    </row>
    <row r="8" spans="2:10" ht="15" customHeight="1">
      <c r="B8" s="76"/>
      <c r="C8" s="152"/>
      <c r="D8" s="54"/>
      <c r="E8" s="54"/>
      <c r="J8" s="75"/>
    </row>
    <row r="9" spans="2:10" ht="15" customHeight="1">
      <c r="B9" s="324" t="s">
        <v>197</v>
      </c>
      <c r="C9" s="325"/>
      <c r="D9" s="325"/>
      <c r="E9" s="325"/>
      <c r="F9" s="325"/>
      <c r="G9" s="325"/>
      <c r="H9" s="325"/>
      <c r="I9" s="325"/>
      <c r="J9" s="326"/>
    </row>
    <row r="10" spans="2:10" ht="15" customHeight="1">
      <c r="B10" s="304" t="s">
        <v>198</v>
      </c>
      <c r="C10" s="305"/>
      <c r="D10" s="305"/>
      <c r="E10" s="305"/>
      <c r="F10" s="305"/>
      <c r="G10" s="305"/>
      <c r="H10" s="305"/>
      <c r="I10" s="305"/>
      <c r="J10" s="306"/>
    </row>
    <row r="11" spans="2:10" ht="15" customHeight="1">
      <c r="B11" s="304" t="s">
        <v>199</v>
      </c>
      <c r="C11" s="305"/>
      <c r="D11" s="305"/>
      <c r="E11" s="305"/>
      <c r="F11" s="305"/>
      <c r="G11" s="305"/>
      <c r="H11" s="305"/>
      <c r="I11" s="305"/>
      <c r="J11" s="306"/>
    </row>
    <row r="12" spans="2:10" ht="15" customHeight="1">
      <c r="B12" s="304" t="s">
        <v>200</v>
      </c>
      <c r="C12" s="305"/>
      <c r="D12" s="305"/>
      <c r="E12" s="305"/>
      <c r="F12" s="305"/>
      <c r="G12" s="305"/>
      <c r="H12" s="305"/>
      <c r="I12" s="305"/>
      <c r="J12" s="306"/>
    </row>
    <row r="13" spans="2:10" ht="15" customHeight="1">
      <c r="B13" s="304" t="s">
        <v>201</v>
      </c>
      <c r="C13" s="305"/>
      <c r="D13" s="305"/>
      <c r="E13" s="305"/>
      <c r="F13" s="305"/>
      <c r="G13" s="305"/>
      <c r="H13" s="305"/>
      <c r="I13" s="305"/>
      <c r="J13" s="306"/>
    </row>
    <row r="14" spans="2:10" ht="15" customHeight="1">
      <c r="B14" s="304" t="s">
        <v>202</v>
      </c>
      <c r="C14" s="305"/>
      <c r="D14" s="305"/>
      <c r="E14" s="305"/>
      <c r="F14" s="305"/>
      <c r="G14" s="305"/>
      <c r="H14" s="305"/>
      <c r="I14" s="305"/>
      <c r="J14" s="306"/>
    </row>
    <row r="15" spans="2:10" ht="15" customHeight="1">
      <c r="B15" s="304" t="s">
        <v>203</v>
      </c>
      <c r="C15" s="305"/>
      <c r="D15" s="305"/>
      <c r="E15" s="305"/>
      <c r="F15" s="305"/>
      <c r="G15" s="305"/>
      <c r="H15" s="305"/>
      <c r="I15" s="305"/>
      <c r="J15" s="306"/>
    </row>
    <row r="16" spans="2:10" ht="15" customHeight="1">
      <c r="B16" s="307" t="s">
        <v>204</v>
      </c>
      <c r="C16" s="308"/>
      <c r="D16" s="308"/>
      <c r="E16" s="308"/>
      <c r="F16" s="308"/>
      <c r="G16" s="308"/>
      <c r="H16" s="308"/>
      <c r="I16" s="308"/>
      <c r="J16" s="309"/>
    </row>
    <row r="17" spans="2:10" ht="24.95" customHeight="1">
      <c r="C17" s="46"/>
      <c r="D17" s="9"/>
    </row>
    <row r="18" spans="2:10" ht="17.100000000000001" customHeight="1">
      <c r="B18" s="295" t="s">
        <v>205</v>
      </c>
      <c r="C18" s="296"/>
      <c r="D18" s="130" t="s">
        <v>164</v>
      </c>
      <c r="E18" s="130" t="s">
        <v>164</v>
      </c>
      <c r="F18" s="130" t="s">
        <v>164</v>
      </c>
      <c r="G18" s="129" t="s">
        <v>164</v>
      </c>
      <c r="H18" s="131" t="s">
        <v>164</v>
      </c>
      <c r="I18" s="131" t="s">
        <v>164</v>
      </c>
      <c r="J18" s="131" t="s">
        <v>164</v>
      </c>
    </row>
    <row r="19" spans="2:10" ht="17.100000000000001" customHeight="1">
      <c r="B19" s="297"/>
      <c r="C19" s="298"/>
      <c r="D19" s="132">
        <v>0.05</v>
      </c>
      <c r="E19" s="132">
        <v>0.04</v>
      </c>
      <c r="F19" s="132">
        <v>3.5000000000000003E-2</v>
      </c>
      <c r="G19" s="133">
        <v>0.03</v>
      </c>
      <c r="H19" s="134">
        <v>2.5000000000000001E-2</v>
      </c>
      <c r="I19" s="134">
        <v>0.02</v>
      </c>
      <c r="J19" s="134">
        <v>1.4999999999999999E-2</v>
      </c>
    </row>
    <row r="20" spans="2:10" ht="17.100000000000001" customHeight="1">
      <c r="B20" s="70" t="s">
        <v>206</v>
      </c>
      <c r="C20" s="153" t="s">
        <v>207</v>
      </c>
      <c r="D20" s="128">
        <v>0.04</v>
      </c>
      <c r="E20" s="128">
        <v>0.04</v>
      </c>
      <c r="F20" s="128">
        <v>0.04</v>
      </c>
      <c r="G20" s="128">
        <v>0.04</v>
      </c>
      <c r="H20" s="128">
        <v>0.04</v>
      </c>
      <c r="I20" s="128">
        <v>0.04</v>
      </c>
      <c r="J20" s="128">
        <v>0.04</v>
      </c>
    </row>
    <row r="21" spans="2:10" ht="17.100000000000001" customHeight="1">
      <c r="B21" s="70" t="s">
        <v>208</v>
      </c>
      <c r="C21" s="11" t="s">
        <v>209</v>
      </c>
      <c r="D21" s="59">
        <v>1.23E-2</v>
      </c>
      <c r="E21" s="59">
        <v>1.23E-2</v>
      </c>
      <c r="F21" s="59">
        <v>1.23E-2</v>
      </c>
      <c r="G21" s="59">
        <v>1.23E-2</v>
      </c>
      <c r="H21" s="59">
        <v>1.23E-2</v>
      </c>
      <c r="I21" s="59">
        <v>1.23E-2</v>
      </c>
      <c r="J21" s="59">
        <v>1.23E-2</v>
      </c>
    </row>
    <row r="22" spans="2:10" ht="17.100000000000001" customHeight="1">
      <c r="B22" s="70" t="s">
        <v>210</v>
      </c>
      <c r="C22" s="11" t="s">
        <v>211</v>
      </c>
      <c r="D22" s="59">
        <v>8.0000000000000002E-3</v>
      </c>
      <c r="E22" s="59">
        <v>8.0000000000000002E-3</v>
      </c>
      <c r="F22" s="59">
        <v>8.0000000000000002E-3</v>
      </c>
      <c r="G22" s="59">
        <v>8.0000000000000002E-3</v>
      </c>
      <c r="H22" s="59">
        <v>8.0000000000000002E-3</v>
      </c>
      <c r="I22" s="59">
        <v>8.0000000000000002E-3</v>
      </c>
      <c r="J22" s="59">
        <v>8.0000000000000002E-3</v>
      </c>
    </row>
    <row r="23" spans="2:10" ht="17.100000000000001" customHeight="1">
      <c r="B23" s="70" t="s">
        <v>212</v>
      </c>
      <c r="C23" s="11" t="s">
        <v>213</v>
      </c>
      <c r="D23" s="59">
        <v>1.2699999999999999E-2</v>
      </c>
      <c r="E23" s="59">
        <v>1.2699999999999999E-2</v>
      </c>
      <c r="F23" s="59">
        <v>1.2699999999999999E-2</v>
      </c>
      <c r="G23" s="59">
        <v>1.2699999999999999E-2</v>
      </c>
      <c r="H23" s="59">
        <v>1.2699999999999999E-2</v>
      </c>
      <c r="I23" s="59">
        <v>1.2699999999999999E-2</v>
      </c>
      <c r="J23" s="59">
        <v>1.2699999999999999E-2</v>
      </c>
    </row>
    <row r="24" spans="2:10" ht="17.100000000000001" customHeight="1">
      <c r="B24" s="70" t="s">
        <v>214</v>
      </c>
      <c r="C24" s="11" t="s">
        <v>215</v>
      </c>
      <c r="D24" s="59">
        <v>7.3999999999999996E-2</v>
      </c>
      <c r="E24" s="59">
        <v>7.3999999999999996E-2</v>
      </c>
      <c r="F24" s="59">
        <v>7.3999999999999996E-2</v>
      </c>
      <c r="G24" s="59">
        <v>7.3999999999999996E-2</v>
      </c>
      <c r="H24" s="59">
        <v>7.3999999999999996E-2</v>
      </c>
      <c r="I24" s="59">
        <v>7.3999999999999996E-2</v>
      </c>
      <c r="J24" s="59">
        <v>7.3999999999999996E-2</v>
      </c>
    </row>
    <row r="25" spans="2:10" ht="17.100000000000001" customHeight="1">
      <c r="B25" s="299" t="s">
        <v>216</v>
      </c>
      <c r="C25" s="11" t="s">
        <v>217</v>
      </c>
      <c r="D25" s="59">
        <v>6.4999999999999997E-3</v>
      </c>
      <c r="E25" s="59">
        <v>6.4999999999999997E-3</v>
      </c>
      <c r="F25" s="59">
        <v>6.4999999999999997E-3</v>
      </c>
      <c r="G25" s="59">
        <v>6.4999999999999997E-3</v>
      </c>
      <c r="H25" s="59">
        <v>6.4999999999999997E-3</v>
      </c>
      <c r="I25" s="59">
        <v>6.4999999999999997E-3</v>
      </c>
      <c r="J25" s="59">
        <v>6.4999999999999997E-3</v>
      </c>
    </row>
    <row r="26" spans="2:10" ht="17.100000000000001" customHeight="1">
      <c r="B26" s="299"/>
      <c r="C26" s="70" t="s">
        <v>218</v>
      </c>
      <c r="D26" s="60">
        <v>0.03</v>
      </c>
      <c r="E26" s="60">
        <v>0.03</v>
      </c>
      <c r="F26" s="60">
        <v>0.03</v>
      </c>
      <c r="G26" s="60">
        <v>0.03</v>
      </c>
      <c r="H26" s="60">
        <v>0.03</v>
      </c>
      <c r="I26" s="60">
        <v>0.03</v>
      </c>
      <c r="J26" s="60">
        <v>0.03</v>
      </c>
    </row>
    <row r="27" spans="2:10" ht="17.100000000000001" customHeight="1">
      <c r="B27" s="299"/>
      <c r="C27" s="70" t="s">
        <v>164</v>
      </c>
      <c r="D27" s="60">
        <v>0.05</v>
      </c>
      <c r="E27" s="60">
        <v>0.04</v>
      </c>
      <c r="F27" s="59">
        <v>3.5000000000000003E-2</v>
      </c>
      <c r="G27" s="60">
        <v>0.03</v>
      </c>
      <c r="H27" s="60">
        <v>2.5000000000000001E-2</v>
      </c>
      <c r="I27" s="60">
        <v>0.02</v>
      </c>
      <c r="J27" s="59">
        <v>1.4999999999999999E-2</v>
      </c>
    </row>
    <row r="28" spans="2:10" ht="17.100000000000001" customHeight="1">
      <c r="B28" s="299"/>
      <c r="C28" s="70" t="s">
        <v>219</v>
      </c>
      <c r="D28" s="60">
        <v>4.4999999999999998E-2</v>
      </c>
      <c r="E28" s="60">
        <v>4.4999999999999998E-2</v>
      </c>
      <c r="F28" s="60">
        <v>4.4999999999999998E-2</v>
      </c>
      <c r="G28" s="60">
        <v>4.4999999999999998E-2</v>
      </c>
      <c r="H28" s="60">
        <v>4.4999999999999998E-2</v>
      </c>
      <c r="I28" s="60">
        <v>4.4999999999999998E-2</v>
      </c>
      <c r="J28" s="60">
        <v>4.4999999999999998E-2</v>
      </c>
    </row>
    <row r="29" spans="2:10" ht="20.100000000000001" customHeight="1">
      <c r="B29" s="310" t="s">
        <v>220</v>
      </c>
      <c r="C29" s="311"/>
      <c r="D29" s="154">
        <f>(((1+D22+D20+D23)*(1+D21)*(1+D24))/(1-(D25+D26+D27+D28))-1)</f>
        <v>0.327811006493955</v>
      </c>
      <c r="E29" s="154">
        <f t="shared" ref="E29:J29" si="0">(((1+E22+E20+E23)*(1+E21)*(1+E24))/(1-(E25+E26+E27+E28))-1)</f>
        <v>0.31269648166192376</v>
      </c>
      <c r="F29" s="154">
        <f t="shared" si="0"/>
        <v>0.30526752590831929</v>
      </c>
      <c r="G29" s="154">
        <f t="shared" si="0"/>
        <v>0.29792218248733837</v>
      </c>
      <c r="H29" s="154">
        <f t="shared" si="0"/>
        <v>0.29065904772244</v>
      </c>
      <c r="I29" s="154">
        <f t="shared" si="0"/>
        <v>0.28347674918197008</v>
      </c>
      <c r="J29" s="154">
        <f t="shared" si="0"/>
        <v>0.27637394481460986</v>
      </c>
    </row>
    <row r="30" spans="2:10" ht="20.100000000000001" customHeight="1">
      <c r="B30" s="293" t="s">
        <v>221</v>
      </c>
      <c r="C30" s="294"/>
      <c r="D30" s="69">
        <f t="shared" ref="D30:J30" si="1">ROUND(D29,4)</f>
        <v>0.32779999999999998</v>
      </c>
      <c r="E30" s="69">
        <f t="shared" si="1"/>
        <v>0.31269999999999998</v>
      </c>
      <c r="F30" s="69">
        <f t="shared" si="1"/>
        <v>0.30530000000000002</v>
      </c>
      <c r="G30" s="69">
        <f t="shared" si="1"/>
        <v>0.2979</v>
      </c>
      <c r="H30" s="69">
        <f t="shared" si="1"/>
        <v>0.29070000000000001</v>
      </c>
      <c r="I30" s="69">
        <f t="shared" si="1"/>
        <v>0.28349999999999997</v>
      </c>
      <c r="J30" s="69">
        <f t="shared" si="1"/>
        <v>0.27639999999999998</v>
      </c>
    </row>
    <row r="31" spans="2:10" ht="20.100000000000001" customHeight="1">
      <c r="B31" s="43"/>
      <c r="C31" s="43"/>
      <c r="D31" s="36"/>
      <c r="E31" s="36"/>
      <c r="F31" s="36"/>
      <c r="G31" s="36"/>
      <c r="H31" s="36"/>
      <c r="I31" s="36"/>
      <c r="J31" s="36"/>
    </row>
    <row r="32" spans="2:10" ht="17.100000000000001" customHeight="1">
      <c r="B32" s="295" t="s">
        <v>222</v>
      </c>
      <c r="C32" s="296"/>
      <c r="D32" s="130" t="s">
        <v>164</v>
      </c>
      <c r="E32" s="130" t="s">
        <v>164</v>
      </c>
      <c r="F32" s="130" t="s">
        <v>164</v>
      </c>
      <c r="G32" s="129" t="s">
        <v>164</v>
      </c>
      <c r="H32" s="131" t="s">
        <v>164</v>
      </c>
      <c r="I32" s="131" t="s">
        <v>164</v>
      </c>
      <c r="J32" s="131" t="s">
        <v>164</v>
      </c>
    </row>
    <row r="33" spans="2:10" ht="17.100000000000001" customHeight="1">
      <c r="B33" s="297"/>
      <c r="C33" s="298"/>
      <c r="D33" s="132">
        <v>0.05</v>
      </c>
      <c r="E33" s="132">
        <v>0.04</v>
      </c>
      <c r="F33" s="132">
        <v>3.5000000000000003E-2</v>
      </c>
      <c r="G33" s="133">
        <v>0.03</v>
      </c>
      <c r="H33" s="134">
        <v>2.5000000000000001E-2</v>
      </c>
      <c r="I33" s="134">
        <v>0.02</v>
      </c>
      <c r="J33" s="134">
        <v>1.4999999999999999E-2</v>
      </c>
    </row>
    <row r="34" spans="2:10" ht="17.100000000000001" customHeight="1">
      <c r="B34" s="70" t="s">
        <v>206</v>
      </c>
      <c r="C34" s="153" t="s">
        <v>207</v>
      </c>
      <c r="D34" s="59">
        <v>3.4500000000000003E-2</v>
      </c>
      <c r="E34" s="59">
        <v>3.4500000000000003E-2</v>
      </c>
      <c r="F34" s="59">
        <v>3.4500000000000003E-2</v>
      </c>
      <c r="G34" s="59">
        <v>3.4500000000000003E-2</v>
      </c>
      <c r="H34" s="59">
        <v>3.4500000000000003E-2</v>
      </c>
      <c r="I34" s="59">
        <v>3.4500000000000003E-2</v>
      </c>
      <c r="J34" s="59">
        <v>3.4500000000000003E-2</v>
      </c>
    </row>
    <row r="35" spans="2:10" ht="17.100000000000001" customHeight="1">
      <c r="B35" s="70" t="s">
        <v>208</v>
      </c>
      <c r="C35" s="11" t="s">
        <v>209</v>
      </c>
      <c r="D35" s="59">
        <v>8.5000000000000006E-3</v>
      </c>
      <c r="E35" s="59">
        <v>8.5000000000000006E-3</v>
      </c>
      <c r="F35" s="59">
        <v>8.5000000000000006E-3</v>
      </c>
      <c r="G35" s="59">
        <v>8.5000000000000006E-3</v>
      </c>
      <c r="H35" s="59">
        <v>8.5000000000000006E-3</v>
      </c>
      <c r="I35" s="59">
        <v>8.5000000000000006E-3</v>
      </c>
      <c r="J35" s="59">
        <v>8.5000000000000006E-3</v>
      </c>
    </row>
    <row r="36" spans="2:10" ht="17.100000000000001" customHeight="1">
      <c r="B36" s="70" t="s">
        <v>210</v>
      </c>
      <c r="C36" s="11" t="s">
        <v>211</v>
      </c>
      <c r="D36" s="59">
        <v>4.7999999999999996E-3</v>
      </c>
      <c r="E36" s="59">
        <v>4.7999999999999996E-3</v>
      </c>
      <c r="F36" s="59">
        <v>4.7999999999999996E-3</v>
      </c>
      <c r="G36" s="59">
        <v>4.7999999999999996E-3</v>
      </c>
      <c r="H36" s="59">
        <v>4.7999999999999996E-3</v>
      </c>
      <c r="I36" s="59">
        <v>4.7999999999999996E-3</v>
      </c>
      <c r="J36" s="59">
        <v>4.7999999999999996E-3</v>
      </c>
    </row>
    <row r="37" spans="2:10" ht="17.100000000000001" customHeight="1">
      <c r="B37" s="70" t="s">
        <v>212</v>
      </c>
      <c r="C37" s="11" t="s">
        <v>213</v>
      </c>
      <c r="D37" s="59">
        <v>8.5000000000000006E-3</v>
      </c>
      <c r="E37" s="59">
        <v>8.5000000000000006E-3</v>
      </c>
      <c r="F37" s="59">
        <v>8.5000000000000006E-3</v>
      </c>
      <c r="G37" s="59">
        <v>8.5000000000000006E-3</v>
      </c>
      <c r="H37" s="59">
        <v>8.5000000000000006E-3</v>
      </c>
      <c r="I37" s="59">
        <v>8.5000000000000006E-3</v>
      </c>
      <c r="J37" s="59">
        <v>8.5000000000000006E-3</v>
      </c>
    </row>
    <row r="38" spans="2:10" ht="17.100000000000001" customHeight="1">
      <c r="B38" s="70" t="s">
        <v>214</v>
      </c>
      <c r="C38" s="11" t="s">
        <v>215</v>
      </c>
      <c r="D38" s="59">
        <v>5.11E-2</v>
      </c>
      <c r="E38" s="59">
        <v>5.11E-2</v>
      </c>
      <c r="F38" s="59">
        <v>5.11E-2</v>
      </c>
      <c r="G38" s="59">
        <v>5.11E-2</v>
      </c>
      <c r="H38" s="59">
        <v>5.11E-2</v>
      </c>
      <c r="I38" s="59">
        <v>5.11E-2</v>
      </c>
      <c r="J38" s="59">
        <v>5.11E-2</v>
      </c>
    </row>
    <row r="39" spans="2:10" ht="17.100000000000001" customHeight="1">
      <c r="B39" s="299" t="s">
        <v>216</v>
      </c>
      <c r="C39" s="11" t="s">
        <v>217</v>
      </c>
      <c r="D39" s="59">
        <v>6.4999999999999997E-3</v>
      </c>
      <c r="E39" s="59">
        <v>6.4999999999999997E-3</v>
      </c>
      <c r="F39" s="59">
        <v>6.4999999999999997E-3</v>
      </c>
      <c r="G39" s="59">
        <v>6.4999999999999997E-3</v>
      </c>
      <c r="H39" s="59">
        <v>6.4999999999999997E-3</v>
      </c>
      <c r="I39" s="59">
        <v>6.4999999999999997E-3</v>
      </c>
      <c r="J39" s="59">
        <v>6.4999999999999997E-3</v>
      </c>
    </row>
    <row r="40" spans="2:10" ht="17.100000000000001" customHeight="1">
      <c r="B40" s="299"/>
      <c r="C40" s="70" t="s">
        <v>218</v>
      </c>
      <c r="D40" s="60">
        <v>0.03</v>
      </c>
      <c r="E40" s="60">
        <v>0.03</v>
      </c>
      <c r="F40" s="60">
        <v>0.03</v>
      </c>
      <c r="G40" s="60">
        <v>0.03</v>
      </c>
      <c r="H40" s="60">
        <v>0.03</v>
      </c>
      <c r="I40" s="60">
        <v>0.03</v>
      </c>
      <c r="J40" s="60">
        <v>0.03</v>
      </c>
    </row>
    <row r="41" spans="2:10" ht="17.100000000000001" customHeight="1">
      <c r="B41" s="299"/>
      <c r="C41" s="70" t="s">
        <v>164</v>
      </c>
      <c r="D41" s="60">
        <v>0</v>
      </c>
      <c r="E41" s="60">
        <v>0</v>
      </c>
      <c r="F41" s="59">
        <v>0</v>
      </c>
      <c r="G41" s="60">
        <v>0</v>
      </c>
      <c r="H41" s="60">
        <v>0</v>
      </c>
      <c r="I41" s="60">
        <v>0</v>
      </c>
      <c r="J41" s="59">
        <v>0</v>
      </c>
    </row>
    <row r="42" spans="2:10" ht="17.100000000000001" customHeight="1">
      <c r="B42" s="299"/>
      <c r="C42" s="70" t="s">
        <v>219</v>
      </c>
      <c r="D42" s="60">
        <v>4.4999999999999998E-2</v>
      </c>
      <c r="E42" s="60">
        <v>4.4999999999999998E-2</v>
      </c>
      <c r="F42" s="60">
        <v>4.4999999999999998E-2</v>
      </c>
      <c r="G42" s="60">
        <v>4.4999999999999998E-2</v>
      </c>
      <c r="H42" s="60">
        <v>4.4999999999999998E-2</v>
      </c>
      <c r="I42" s="60">
        <v>4.4999999999999998E-2</v>
      </c>
      <c r="J42" s="60">
        <v>4.4999999999999998E-2</v>
      </c>
    </row>
    <row r="43" spans="2:10" ht="20.100000000000001" customHeight="1">
      <c r="B43" s="300" t="s">
        <v>220</v>
      </c>
      <c r="C43" s="301"/>
      <c r="D43" s="154">
        <f>(((1+D36+D34+D37)*(1+D35)*(1+D38))/(1-(D39+D40+D41+D42))-1)</f>
        <v>0.20925856497550321</v>
      </c>
      <c r="E43" s="154">
        <f t="shared" ref="E43:J43" si="2">(((1+E36+E34+E37)*(1+E35)*(1+E38))/(1-(E39+E40+E41+E42))-1)</f>
        <v>0.20925856497550321</v>
      </c>
      <c r="F43" s="154">
        <f t="shared" si="2"/>
        <v>0.20925856497550321</v>
      </c>
      <c r="G43" s="154">
        <f t="shared" si="2"/>
        <v>0.20925856497550321</v>
      </c>
      <c r="H43" s="154">
        <f t="shared" si="2"/>
        <v>0.20925856497550321</v>
      </c>
      <c r="I43" s="154">
        <f t="shared" si="2"/>
        <v>0.20925856497550321</v>
      </c>
      <c r="J43" s="154">
        <f t="shared" si="2"/>
        <v>0.20925856497550321</v>
      </c>
    </row>
    <row r="44" spans="2:10" ht="20.100000000000001" customHeight="1">
      <c r="B44" s="302" t="s">
        <v>221</v>
      </c>
      <c r="C44" s="303"/>
      <c r="D44" s="69">
        <f t="shared" ref="D44:J44" si="3">ROUND(D43,4)</f>
        <v>0.20930000000000001</v>
      </c>
      <c r="E44" s="69">
        <f t="shared" si="3"/>
        <v>0.20930000000000001</v>
      </c>
      <c r="F44" s="69">
        <f t="shared" si="3"/>
        <v>0.20930000000000001</v>
      </c>
      <c r="G44" s="69">
        <f t="shared" si="3"/>
        <v>0.20930000000000001</v>
      </c>
      <c r="H44" s="69">
        <f t="shared" si="3"/>
        <v>0.20930000000000001</v>
      </c>
      <c r="I44" s="69">
        <f t="shared" si="3"/>
        <v>0.20930000000000001</v>
      </c>
      <c r="J44" s="69">
        <f t="shared" si="3"/>
        <v>0.20930000000000001</v>
      </c>
    </row>
    <row r="65536" ht="12.75" customHeight="1"/>
    <row r="65537" ht="12.75" customHeight="1"/>
  </sheetData>
  <mergeCells count="20">
    <mergeCell ref="B10:J10"/>
    <mergeCell ref="B11:J11"/>
    <mergeCell ref="B12:J12"/>
    <mergeCell ref="B13:J13"/>
    <mergeCell ref="B14:J14"/>
    <mergeCell ref="B2:J2"/>
    <mergeCell ref="B3:J3"/>
    <mergeCell ref="B5:J5"/>
    <mergeCell ref="B7:J7"/>
    <mergeCell ref="B9:J9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orizontalCentered="1"/>
  <pageMargins left="0.25486111111111098" right="0.240972222222222" top="0.49583333333333302" bottom="0.33333333333333298" header="0.51180555555555496" footer="0.51180555555555496"/>
  <pageSetup paperSize="9" firstPageNumber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FA710-3F24-47D1-AE65-63870B30DC8C}">
  <sheetPr>
    <tabColor rgb="FFFFFFFF"/>
  </sheetPr>
  <dimension ref="B2:IO24"/>
  <sheetViews>
    <sheetView showGridLines="0" zoomScale="110" zoomScaleNormal="110" workbookViewId="0">
      <selection activeCell="I18" sqref="I18"/>
    </sheetView>
  </sheetViews>
  <sheetFormatPr defaultRowHeight="14.25"/>
  <cols>
    <col min="2" max="2" width="32.375" customWidth="1"/>
    <col min="3" max="3" width="9.125" style="7" customWidth="1"/>
    <col min="4" max="4" width="12.25" style="7" customWidth="1"/>
    <col min="5" max="5" width="13.625" style="7" customWidth="1"/>
    <col min="6" max="6" width="7" style="7" customWidth="1"/>
    <col min="7" max="7" width="11.875" style="7" bestFit="1" customWidth="1"/>
    <col min="8" max="8" width="13.25" style="7" customWidth="1"/>
    <col min="9" max="9" width="12.75" style="7" customWidth="1"/>
    <col min="10" max="11" width="13" style="7" bestFit="1" customWidth="1"/>
    <col min="12" max="13" width="9.25" style="7" customWidth="1"/>
    <col min="14" max="248" width="10.625" style="7" customWidth="1"/>
    <col min="249" max="1018" width="10.5" customWidth="1"/>
  </cols>
  <sheetData>
    <row r="2" spans="2:249" ht="24.95" customHeight="1">
      <c r="B2" s="327" t="str">
        <f>"DIVISÃO DOS CUSTOS POR ALÍQUOTA DE ISSQN - "&amp;'Valor da Contratação'!B7&amp;""</f>
        <v>DIVISÃO DOS CUSTOS POR ALÍQUOTA DE ISSQN - POLO X</v>
      </c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</row>
    <row r="3" spans="2:249" ht="17.100000000000001" customHeight="1"/>
    <row r="4" spans="2:249" ht="45.75" customHeight="1">
      <c r="B4" s="111" t="s">
        <v>37</v>
      </c>
      <c r="C4" s="112" t="s">
        <v>223</v>
      </c>
      <c r="D4" s="112" t="s">
        <v>224</v>
      </c>
      <c r="E4" s="112" t="s">
        <v>225</v>
      </c>
      <c r="F4" s="68"/>
      <c r="G4" s="112" t="s">
        <v>226</v>
      </c>
      <c r="H4" s="112" t="s">
        <v>227</v>
      </c>
      <c r="I4" s="112" t="s">
        <v>228</v>
      </c>
      <c r="J4" s="112" t="s">
        <v>229</v>
      </c>
      <c r="K4" s="112" t="s">
        <v>230</v>
      </c>
      <c r="L4" s="112" t="s">
        <v>231</v>
      </c>
      <c r="M4" s="112" t="s">
        <v>232</v>
      </c>
    </row>
    <row r="5" spans="2:249" ht="15" customHeight="1">
      <c r="B5" s="93" t="str">
        <f>'Base Ijuí'!B7</f>
        <v>APS Cerro Largo</v>
      </c>
      <c r="C5" s="109">
        <f>VLOOKUP(B5,Unidades!$D$5:$G$23,4,)</f>
        <v>0.03</v>
      </c>
      <c r="D5" s="110">
        <f>'Base Ijuí'!AD7*12+'Base Ijuí'!AE7*4+'Base Ijuí'!AF7*2+'Base Ijuí'!AG7</f>
        <v>10783.390288100345</v>
      </c>
      <c r="E5" s="110">
        <f>'Base Ijuí'!AK7*12+'Base Ijuí'!AL7*4+'Base Ijuí'!AM7*2+'Base Ijuí'!AN7</f>
        <v>13995.762254925437</v>
      </c>
      <c r="G5" s="113">
        <v>0.02</v>
      </c>
      <c r="H5" s="115">
        <f t="shared" ref="H5:H11" si="0">SUMIF(C$5:C$23,G5,D$5:D$23)</f>
        <v>97183.769411727437</v>
      </c>
      <c r="I5" s="115">
        <f t="shared" ref="I5:I11" si="1">SUMIF(C$5:C$23,G5,E$5:E$23)</f>
        <v>124735.36803995217</v>
      </c>
      <c r="J5" s="115">
        <f t="shared" ref="J5:K11" si="2">H5*4</f>
        <v>388735.07764690975</v>
      </c>
      <c r="K5" s="115">
        <f t="shared" si="2"/>
        <v>498941.47215980868</v>
      </c>
      <c r="L5" s="114">
        <f>H5/H$13</f>
        <v>0.40783156871996079</v>
      </c>
      <c r="M5" s="114">
        <f t="shared" ref="L5:M11" si="3">I5/I$13</f>
        <v>0.4042235637655695</v>
      </c>
    </row>
    <row r="6" spans="2:249" ht="15" customHeight="1">
      <c r="B6" s="93" t="str">
        <f>'Base Ijuí'!B8</f>
        <v>APS Frederico Westphalen</v>
      </c>
      <c r="C6" s="109">
        <f>VLOOKUP(B6,Unidades!$D$5:$G$23,4,)</f>
        <v>0.02</v>
      </c>
      <c r="D6" s="110">
        <f>'Base Ijuí'!AD8*12+'Base Ijuí'!AE8*4+'Base Ijuí'!AF8*2+'Base Ijuí'!AG8</f>
        <v>13757.920554315333</v>
      </c>
      <c r="E6" s="110">
        <f>'Base Ijuí'!AK8*12+'Base Ijuí'!AL8*4+'Base Ijuí'!AM8*2+'Base Ijuí'!AN8</f>
        <v>17658.29103146373</v>
      </c>
      <c r="G6" s="113">
        <v>2.5000000000000001E-2</v>
      </c>
      <c r="H6" s="115">
        <f t="shared" si="0"/>
        <v>0</v>
      </c>
      <c r="I6" s="115">
        <f t="shared" si="1"/>
        <v>0</v>
      </c>
      <c r="J6" s="115">
        <f t="shared" si="2"/>
        <v>0</v>
      </c>
      <c r="K6" s="115">
        <f t="shared" si="2"/>
        <v>0</v>
      </c>
      <c r="L6" s="114">
        <f t="shared" si="3"/>
        <v>0</v>
      </c>
      <c r="M6" s="114">
        <f t="shared" si="3"/>
        <v>0</v>
      </c>
    </row>
    <row r="7" spans="2:249" ht="15" customHeight="1">
      <c r="B7" s="93" t="str">
        <f>'Base Ijuí'!B9</f>
        <v>APS Giruá</v>
      </c>
      <c r="C7" s="109">
        <f>VLOOKUP(B7,Unidades!$D$5:$G$23,4,)</f>
        <v>0.02</v>
      </c>
      <c r="D7" s="110">
        <f>'Base Ijuí'!AD9*12+'Base Ijuí'!AE9*4+'Base Ijuí'!AF9*2+'Base Ijuí'!AG9</f>
        <v>9948.6407047670109</v>
      </c>
      <c r="E7" s="110">
        <f>'Base Ijuí'!AK9*12+'Base Ijuí'!AL9*4+'Base Ijuí'!AM9*2+'Base Ijuí'!AN9</f>
        <v>12769.08034456846</v>
      </c>
      <c r="G7" s="113">
        <v>0.03</v>
      </c>
      <c r="H7" s="115">
        <f t="shared" si="0"/>
        <v>117766.91707919023</v>
      </c>
      <c r="I7" s="115">
        <f t="shared" si="1"/>
        <v>152849.68167708101</v>
      </c>
      <c r="J7" s="115">
        <f t="shared" si="2"/>
        <v>471067.66831676092</v>
      </c>
      <c r="K7" s="115">
        <f t="shared" si="2"/>
        <v>611398.72670832404</v>
      </c>
      <c r="L7" s="114">
        <f t="shared" si="3"/>
        <v>0.4942087225721859</v>
      </c>
      <c r="M7" s="114">
        <f t="shared" si="3"/>
        <v>0.49533219021050201</v>
      </c>
    </row>
    <row r="8" spans="2:249" ht="15" customHeight="1">
      <c r="B8" s="93" t="str">
        <f>'Base Ijuí'!B10</f>
        <v>APS Horizontina</v>
      </c>
      <c r="C8" s="109">
        <f>VLOOKUP(B8,Unidades!$D$5:$G$23,4,)</f>
        <v>0.02</v>
      </c>
      <c r="D8" s="110">
        <f>'Base Ijuí'!AD10*12+'Base Ijuí'!AE10*4+'Base Ijuí'!AF10*2+'Base Ijuí'!AG10</f>
        <v>10086.128871433679</v>
      </c>
      <c r="E8" s="110">
        <f>'Base Ijuí'!AK10*12+'Base Ijuí'!AL10*4+'Base Ijuí'!AM10*2+'Base Ijuí'!AN10</f>
        <v>12945.546406485128</v>
      </c>
      <c r="G8" s="113">
        <v>3.5000000000000003E-2</v>
      </c>
      <c r="H8" s="115">
        <f t="shared" si="0"/>
        <v>0</v>
      </c>
      <c r="I8" s="115">
        <f t="shared" si="1"/>
        <v>0</v>
      </c>
      <c r="J8" s="115">
        <f t="shared" si="2"/>
        <v>0</v>
      </c>
      <c r="K8" s="115">
        <f t="shared" si="2"/>
        <v>0</v>
      </c>
      <c r="L8" s="114">
        <f t="shared" si="3"/>
        <v>0</v>
      </c>
      <c r="M8" s="114">
        <f t="shared" si="3"/>
        <v>0</v>
      </c>
    </row>
    <row r="9" spans="2:249" s="17" customFormat="1" ht="15" customHeight="1">
      <c r="B9" s="93" t="str">
        <f>'Base Ijuí'!B11</f>
        <v>APS Palmeira Das Missões</v>
      </c>
      <c r="C9" s="109">
        <f>VLOOKUP(B9,Unidades!$D$5:$G$23,4,)</f>
        <v>0.03</v>
      </c>
      <c r="D9" s="110">
        <f>'Base Ijuí'!AD11*12+'Base Ijuí'!AE11*4+'Base Ijuí'!AF11*2+'Base Ijuí'!AG11</f>
        <v>15262.160663498409</v>
      </c>
      <c r="E9" s="110">
        <f>'Base Ijuí'!AK11*12+'Base Ijuí'!AL11*4+'Base Ijuí'!AM11*2+'Base Ijuí'!AN11</f>
        <v>19808.758325154588</v>
      </c>
      <c r="G9" s="113">
        <v>0.04</v>
      </c>
      <c r="H9" s="115">
        <f t="shared" si="0"/>
        <v>0</v>
      </c>
      <c r="I9" s="115">
        <f t="shared" si="1"/>
        <v>0</v>
      </c>
      <c r="J9" s="115">
        <f t="shared" si="2"/>
        <v>0</v>
      </c>
      <c r="K9" s="115">
        <f t="shared" si="2"/>
        <v>0</v>
      </c>
      <c r="L9" s="114">
        <f t="shared" si="3"/>
        <v>0</v>
      </c>
      <c r="M9" s="114">
        <f t="shared" si="3"/>
        <v>0</v>
      </c>
      <c r="IO9" s="18"/>
    </row>
    <row r="10" spans="2:249" s="17" customFormat="1" ht="15" customHeight="1">
      <c r="B10" s="93" t="str">
        <f>'Base Ijuí'!B12</f>
        <v>APS Panambi</v>
      </c>
      <c r="C10" s="109">
        <f>VLOOKUP(B10,Unidades!$D$5:$G$23,4,)</f>
        <v>0.02</v>
      </c>
      <c r="D10" s="110">
        <f>'Base Ijuí'!AD12*12+'Base Ijuí'!AE12*4+'Base Ijuí'!AF12*2+'Base Ijuí'!AG12</f>
        <v>10331.643454767011</v>
      </c>
      <c r="E10" s="110">
        <f>'Base Ijuí'!AK12*12+'Base Ijuí'!AL12*4+'Base Ijuí'!AM12*2+'Base Ijuí'!AN12</f>
        <v>13260.66437419346</v>
      </c>
      <c r="G10" s="113">
        <v>4.4999999999999998E-2</v>
      </c>
      <c r="H10" s="115">
        <f t="shared" si="0"/>
        <v>0</v>
      </c>
      <c r="I10" s="115">
        <f t="shared" si="1"/>
        <v>0</v>
      </c>
      <c r="J10" s="115">
        <f t="shared" si="2"/>
        <v>0</v>
      </c>
      <c r="K10" s="115">
        <f t="shared" si="2"/>
        <v>0</v>
      </c>
      <c r="L10" s="114">
        <f t="shared" si="3"/>
        <v>0</v>
      </c>
      <c r="M10" s="114">
        <f t="shared" si="3"/>
        <v>0</v>
      </c>
      <c r="IO10" s="18"/>
    </row>
    <row r="11" spans="2:249" ht="15" customHeight="1">
      <c r="B11" s="93" t="str">
        <f>'Base Ijuí'!B13</f>
        <v>APS Porto Lucena</v>
      </c>
      <c r="C11" s="109">
        <f>VLOOKUP(B11,Unidades!$D$5:$G$23,4,)</f>
        <v>0.02</v>
      </c>
      <c r="D11" s="110">
        <f>'Base Ijuí'!AD13*12+'Base Ijuí'!AE13*4+'Base Ijuí'!AF13*2+'Base Ijuí'!AG13</f>
        <v>11205.675371433679</v>
      </c>
      <c r="E11" s="110">
        <f>'Base Ijuí'!AK13*12+'Base Ijuí'!AL13*4+'Base Ijuí'!AM13*2+'Base Ijuí'!AN13</f>
        <v>14382.484339235129</v>
      </c>
      <c r="G11" s="113">
        <v>0.05</v>
      </c>
      <c r="H11" s="115">
        <f t="shared" si="0"/>
        <v>23343.199675749012</v>
      </c>
      <c r="I11" s="115">
        <f t="shared" si="1"/>
        <v>30995.100529459531</v>
      </c>
      <c r="J11" s="115">
        <f t="shared" si="2"/>
        <v>93372.79870299605</v>
      </c>
      <c r="K11" s="115">
        <f t="shared" si="2"/>
        <v>123980.40211783812</v>
      </c>
      <c r="L11" s="114">
        <f t="shared" si="3"/>
        <v>9.7959708707853255E-2</v>
      </c>
      <c r="M11" s="114">
        <f t="shared" si="3"/>
        <v>0.10044424602392849</v>
      </c>
    </row>
    <row r="12" spans="2:249" ht="15" customHeight="1">
      <c r="B12" s="93" t="str">
        <f>'Base Ijuí'!B14</f>
        <v>APS Santa Rosa</v>
      </c>
      <c r="C12" s="109">
        <f>VLOOKUP(B12,Unidades!$D$5:$G$23,4,)</f>
        <v>0.03</v>
      </c>
      <c r="D12" s="110">
        <f>'Base Ijuí'!AD14*12+'Base Ijuí'!AE14*4+'Base Ijuí'!AF14*2+'Base Ijuí'!AG14</f>
        <v>13640.073554315331</v>
      </c>
      <c r="E12" s="110">
        <f>'Base Ijuí'!AK14*12+'Base Ijuí'!AL14*4+'Base Ijuí'!AM14*2+'Base Ijuí'!AN14</f>
        <v>17703.451466145871</v>
      </c>
      <c r="G12" s="8"/>
    </row>
    <row r="13" spans="2:249" s="7" customFormat="1" ht="15" customHeight="1">
      <c r="B13" s="93" t="str">
        <f>'Base Ijuí'!B15</f>
        <v>APS São Luiz Gonzaga</v>
      </c>
      <c r="C13" s="109">
        <f>VLOOKUP(B13,Unidades!$D$5:$G$23,4,)</f>
        <v>0.03</v>
      </c>
      <c r="D13" s="110">
        <f>'Base Ijuí'!AD15*12+'Base Ijuí'!AE15*4+'Base Ijuí'!AF15*2+'Base Ijuí'!AG15</f>
        <v>14722.028580165075</v>
      </c>
      <c r="E13" s="110">
        <f>'Base Ijuí'!AK15*12+'Base Ijuí'!AL15*4+'Base Ijuí'!AM15*2+'Base Ijuí'!AN15</f>
        <v>19107.720894196253</v>
      </c>
      <c r="G13" s="112" t="s">
        <v>102</v>
      </c>
      <c r="H13" s="118">
        <f t="shared" ref="H13:M13" si="4">SUM(H5:H11)</f>
        <v>238293.88616666669</v>
      </c>
      <c r="I13" s="118">
        <f t="shared" si="4"/>
        <v>308580.1502464927</v>
      </c>
      <c r="J13" s="118">
        <f t="shared" si="4"/>
        <v>953175.54466666677</v>
      </c>
      <c r="K13" s="118">
        <f t="shared" si="4"/>
        <v>1234320.6009859708</v>
      </c>
      <c r="L13" s="119">
        <f t="shared" si="4"/>
        <v>1</v>
      </c>
      <c r="M13" s="119">
        <f t="shared" si="4"/>
        <v>1</v>
      </c>
      <c r="IO13"/>
    </row>
    <row r="14" spans="2:249" s="7" customFormat="1" ht="15" customHeight="1">
      <c r="B14" s="93" t="str">
        <f>'Base Ijuí'!B16</f>
        <v>APS Três De Maio</v>
      </c>
      <c r="C14" s="109">
        <f>VLOOKUP(B14,Unidades!$D$5:$G$23,4,)</f>
        <v>0.02</v>
      </c>
      <c r="D14" s="110">
        <f>'Base Ijuí'!AD16*12+'Base Ijuí'!AE16*4+'Base Ijuí'!AF16*2+'Base Ijuí'!AG16</f>
        <v>10086.128871433679</v>
      </c>
      <c r="E14" s="110">
        <f>'Base Ijuí'!AK16*12+'Base Ijuí'!AL16*4+'Base Ijuí'!AM16*2+'Base Ijuí'!AN16</f>
        <v>12945.546406485128</v>
      </c>
      <c r="IO14"/>
    </row>
    <row r="15" spans="2:249" s="7" customFormat="1" ht="15" customHeight="1">
      <c r="B15" s="93" t="str">
        <f>'Base Ijuí'!B17</f>
        <v>APS Três Passos</v>
      </c>
      <c r="C15" s="109">
        <f>VLOOKUP(B15,Unidades!$D$5:$G$23,4,)</f>
        <v>0.02</v>
      </c>
      <c r="D15" s="110">
        <f>'Base Ijuí'!AD17*12+'Base Ijuí'!AE17*4+'Base Ijuí'!AF17*2+'Base Ijuí'!AG17</f>
        <v>16077.269080165075</v>
      </c>
      <c r="E15" s="110">
        <f>'Base Ijuí'!AK17*12+'Base Ijuí'!AL17*4+'Base Ijuí'!AM17*2+'Base Ijuí'!AN17</f>
        <v>20635.174864391873</v>
      </c>
      <c r="IO15"/>
    </row>
    <row r="16" spans="2:249" s="7" customFormat="1" ht="15" customHeight="1">
      <c r="B16" s="93" t="str">
        <f>'Base Ijuí'!B18</f>
        <v>APS Santo Ângelo</v>
      </c>
      <c r="C16" s="109">
        <f>VLOOKUP(B16,Unidades!$D$5:$G$23,4,)</f>
        <v>0.03</v>
      </c>
      <c r="D16" s="110">
        <f>'Base Ijuí'!AD18*12+'Base Ijuí'!AE18*4+'Base Ijuí'!AF18*2+'Base Ijuí'!AG18</f>
        <v>13887.278996831741</v>
      </c>
      <c r="E16" s="110">
        <f>'Base Ijuí'!AK18*12+'Base Ijuí'!AL18*4+'Base Ijuí'!AM18*2+'Base Ijuí'!AN18</f>
        <v>18024.299409987918</v>
      </c>
      <c r="IO16"/>
    </row>
    <row r="17" spans="2:249" s="7" customFormat="1" ht="15" customHeight="1">
      <c r="B17" s="93" t="str">
        <f>'Base Ijuí'!B19</f>
        <v>GEX/APS Ijuí</v>
      </c>
      <c r="C17" s="109">
        <f>VLOOKUP(B17,Unidades!$D$5:$G$23,4,)</f>
        <v>0.02</v>
      </c>
      <c r="D17" s="110">
        <f>'Base Ijuí'!AD19*12+'Base Ijuí'!AE19*4+'Base Ijuí'!AF19*2+'Base Ijuí'!AG19</f>
        <v>15690.36250341197</v>
      </c>
      <c r="E17" s="110">
        <f>'Base Ijuí'!AK19*12+'Base Ijuí'!AL19*4+'Base Ijuí'!AM19*2+'Base Ijuí'!AN19</f>
        <v>20138.580273129264</v>
      </c>
      <c r="IO17"/>
    </row>
    <row r="18" spans="2:249" s="7" customFormat="1" ht="15" customHeight="1">
      <c r="B18" s="93" t="str">
        <f>'Base Ijuí'!B20</f>
        <v>APS Cruz Alta</v>
      </c>
      <c r="C18" s="109">
        <f>VLOOKUP(B18,Unidades!$D$5:$G$23,4,)</f>
        <v>0.05</v>
      </c>
      <c r="D18" s="110">
        <f>'Base Ijuí'!AD20*12+'Base Ijuí'!AE20*4+'Base Ijuí'!AF20*2+'Base Ijuí'!AG20</f>
        <v>12658.015220981999</v>
      </c>
      <c r="E18" s="110">
        <f>'Base Ijuí'!AK20*12+'Base Ijuí'!AL20*4+'Base Ijuí'!AM20*2+'Base Ijuí'!AN20</f>
        <v>16807.312610419896</v>
      </c>
      <c r="IO18"/>
    </row>
    <row r="19" spans="2:249" s="7" customFormat="1" ht="15" customHeight="1">
      <c r="B19" s="93" t="str">
        <f>'Base Ijuí'!B21</f>
        <v>APS Ibirubá</v>
      </c>
      <c r="C19" s="109">
        <f>VLOOKUP(B19,Unidades!$D$5:$G$23,4,)</f>
        <v>0.03</v>
      </c>
      <c r="D19" s="110">
        <f>'Base Ijuí'!AD21*12+'Base Ijuí'!AE21*4+'Base Ijuí'!AF21*2+'Base Ijuí'!AG21</f>
        <v>10223.617038100345</v>
      </c>
      <c r="E19" s="110">
        <f>'Base Ijuí'!AK21*12+'Base Ijuí'!AL21*4+'Base Ijuí'!AM21*2+'Base Ijuí'!AN21</f>
        <v>13269.232553750438</v>
      </c>
      <c r="IO19"/>
    </row>
    <row r="20" spans="2:249" s="7" customFormat="1" ht="15" customHeight="1">
      <c r="B20" s="93" t="str">
        <f>'Base Ijuí'!B22</f>
        <v>APS Itaqui</v>
      </c>
      <c r="C20" s="109">
        <f>VLOOKUP(B20,Unidades!$D$5:$G$23,4,)</f>
        <v>0.03</v>
      </c>
      <c r="D20" s="110">
        <f>'Base Ijuí'!AD22*12+'Base Ijuí'!AE22*4+'Base Ijuí'!AF22*2+'Base Ijuí'!AG22</f>
        <v>14848.68320476701</v>
      </c>
      <c r="E20" s="110">
        <f>'Base Ijuí'!AK22*12+'Base Ijuí'!AL22*4+'Base Ijuí'!AM22*2+'Base Ijuí'!AN22</f>
        <v>19272.105931467104</v>
      </c>
      <c r="IO20"/>
    </row>
    <row r="21" spans="2:249" s="7" customFormat="1" ht="15" customHeight="1">
      <c r="B21" s="93" t="str">
        <f>'Base Ijuí'!B23</f>
        <v>APS São Borja</v>
      </c>
      <c r="C21" s="109">
        <f>VLOOKUP(B21,Unidades!$D$5:$G$23,4,)</f>
        <v>0.03</v>
      </c>
      <c r="D21" s="110">
        <f>'Base Ijuí'!AD23*12+'Base Ijuí'!AE23*4+'Base Ijuí'!AF23*2+'Base Ijuí'!AG23</f>
        <v>13714.50029864496</v>
      </c>
      <c r="E21" s="110">
        <f>'Base Ijuí'!AK23*12+'Base Ijuí'!AL23*4+'Base Ijuí'!AM23*2+'Base Ijuí'!AN23</f>
        <v>17800.049937611293</v>
      </c>
      <c r="IO21"/>
    </row>
    <row r="22" spans="2:249" s="67" customFormat="1" ht="15" customHeight="1">
      <c r="B22" s="93" t="str">
        <f>'Base Ijuí'!B24</f>
        <v>APS Júlio de Castilhos</v>
      </c>
      <c r="C22" s="109">
        <f>VLOOKUP(B22,Unidades!$D$5:$G$23,4,)</f>
        <v>0.05</v>
      </c>
      <c r="D22" s="110">
        <f>'Base Ijuí'!AD24*12+'Base Ijuí'!AE24*4+'Base Ijuí'!AF24*2+'Base Ijuí'!AG24</f>
        <v>10685.184454767012</v>
      </c>
      <c r="E22" s="110">
        <f>'Base Ijuí'!AK24*12+'Base Ijuí'!AL24*4+'Base Ijuí'!AM24*2+'Base Ijuí'!AN24</f>
        <v>14187.787919039636</v>
      </c>
    </row>
    <row r="23" spans="2:249" s="7" customFormat="1" ht="15" customHeight="1">
      <c r="B23" s="93" t="str">
        <f>'Base Ijuí'!B25</f>
        <v>APS Tupanciretã</v>
      </c>
      <c r="C23" s="109">
        <f>VLOOKUP(B23,Unidades!$D$5:$G$23,4,)</f>
        <v>0.03</v>
      </c>
      <c r="D23" s="110">
        <f>'Base Ijuí'!AD25*12+'Base Ijuí'!AE25*4+'Base Ijuí'!AF25*2+'Base Ijuí'!AG25</f>
        <v>10685.184454767012</v>
      </c>
      <c r="E23" s="110">
        <f>'Base Ijuí'!AK25*12+'Base Ijuí'!AL25*4+'Base Ijuí'!AM25*2+'Base Ijuí'!AN25</f>
        <v>13868.300903842104</v>
      </c>
      <c r="IO23"/>
    </row>
    <row r="24" spans="2:249" ht="15">
      <c r="B24" s="327" t="s">
        <v>102</v>
      </c>
      <c r="C24" s="327"/>
      <c r="D24" s="117">
        <f>SUM(D5:D23)</f>
        <v>238293.88616666666</v>
      </c>
      <c r="E24" s="117">
        <f>SUM(E5:E23)</f>
        <v>308580.15024649276</v>
      </c>
    </row>
  </sheetData>
  <mergeCells count="2">
    <mergeCell ref="B2:M2"/>
    <mergeCell ref="B24:C24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B1:IP31"/>
  <sheetViews>
    <sheetView showGridLines="0" zoomScale="110" zoomScaleNormal="110" workbookViewId="0">
      <selection activeCell="J7" sqref="J7"/>
    </sheetView>
  </sheetViews>
  <sheetFormatPr defaultRowHeight="14.25"/>
  <cols>
    <col min="1" max="1" width="5.625" customWidth="1"/>
    <col min="2" max="2" width="33.375" style="7" customWidth="1"/>
    <col min="3" max="4" width="14.75" style="7" customWidth="1"/>
    <col min="5" max="5" width="15.625" style="7" customWidth="1"/>
    <col min="6" max="6" width="13.75" style="7" customWidth="1"/>
    <col min="7" max="7" width="14.875" style="7" customWidth="1"/>
    <col min="8" max="8" width="14.375" style="7" customWidth="1"/>
    <col min="9" max="9" width="14" style="8" customWidth="1"/>
    <col min="10" max="10" width="14.875" style="7" customWidth="1"/>
    <col min="11" max="249" width="10.625" style="7" customWidth="1"/>
    <col min="250" max="1019" width="10.5" customWidth="1"/>
  </cols>
  <sheetData>
    <row r="1" spans="2:250" ht="15" customHeight="1"/>
    <row r="2" spans="2:250" ht="24.95" customHeight="1">
      <c r="B2" s="212" t="str">
        <f>"PLANILHA RESUMO "&amp;'Valor da Contratação'!B7&amp;""</f>
        <v>PLANILHA RESUMO POLO X</v>
      </c>
      <c r="C2" s="213"/>
      <c r="D2" s="213"/>
      <c r="E2" s="213"/>
      <c r="F2" s="213"/>
      <c r="G2" s="213"/>
      <c r="H2" s="213"/>
      <c r="I2" s="214"/>
      <c r="J2" s="120"/>
    </row>
    <row r="3" spans="2:250" ht="15" customHeight="1">
      <c r="B3" s="5"/>
      <c r="H3" s="5"/>
      <c r="I3" s="9"/>
    </row>
    <row r="4" spans="2:250" ht="46.5" customHeight="1">
      <c r="B4" s="10" t="s">
        <v>11</v>
      </c>
      <c r="C4" s="10" t="s">
        <v>12</v>
      </c>
      <c r="D4" s="10" t="s">
        <v>13</v>
      </c>
      <c r="E4" s="10" t="s">
        <v>14</v>
      </c>
      <c r="F4" s="10" t="s">
        <v>15</v>
      </c>
      <c r="G4" s="10" t="s">
        <v>16</v>
      </c>
      <c r="H4" s="10" t="s">
        <v>17</v>
      </c>
      <c r="I4" s="10" t="s">
        <v>18</v>
      </c>
    </row>
    <row r="5" spans="2:250" ht="20.100000000000001" customHeight="1">
      <c r="B5" s="88" t="s">
        <v>19</v>
      </c>
      <c r="C5" s="12">
        <f>'Base Ijuí'!C26</f>
        <v>26849.1</v>
      </c>
      <c r="D5" s="6">
        <f>'Base Ijuí'!AT10</f>
        <v>25715.012520541059</v>
      </c>
      <c r="E5" s="6">
        <f>D5*12</f>
        <v>308580.1502464927</v>
      </c>
      <c r="F5" s="6">
        <f>'Base Ijuí'!AT12</f>
        <v>77145.037561623176</v>
      </c>
      <c r="G5" s="6">
        <f>F5*12</f>
        <v>925740.45073947811</v>
      </c>
      <c r="H5" s="6">
        <f>D5+F5</f>
        <v>102860.05008216423</v>
      </c>
      <c r="I5" s="6">
        <f>H5*12</f>
        <v>1234320.6009859708</v>
      </c>
    </row>
    <row r="6" spans="2:250" ht="20.100000000000001" customHeight="1">
      <c r="B6" s="13" t="str">
        <f>"TOTAL "&amp;'Valor da Contratação'!B7&amp;""</f>
        <v>TOTAL POLO X</v>
      </c>
      <c r="C6" s="14">
        <f t="shared" ref="C6:I6" si="0">SUM(C5:C5)</f>
        <v>26849.1</v>
      </c>
      <c r="D6" s="15">
        <f t="shared" si="0"/>
        <v>25715.012520541059</v>
      </c>
      <c r="E6" s="15">
        <f t="shared" si="0"/>
        <v>308580.1502464927</v>
      </c>
      <c r="F6" s="15">
        <f t="shared" si="0"/>
        <v>77145.037561623176</v>
      </c>
      <c r="G6" s="15">
        <f t="shared" si="0"/>
        <v>925740.45073947811</v>
      </c>
      <c r="H6" s="15">
        <f t="shared" si="0"/>
        <v>102860.05008216423</v>
      </c>
      <c r="I6" s="15">
        <f t="shared" si="0"/>
        <v>1234320.6009859708</v>
      </c>
    </row>
    <row r="7" spans="2:250" ht="24.95" customHeight="1">
      <c r="B7" s="5"/>
      <c r="C7" s="5"/>
      <c r="D7" s="5"/>
      <c r="E7" s="5"/>
      <c r="F7" s="5"/>
      <c r="G7" s="16"/>
      <c r="H7" s="5"/>
      <c r="I7" s="9"/>
    </row>
    <row r="8" spans="2:250" s="17" customFormat="1" ht="27.2" customHeight="1">
      <c r="B8" s="215" t="str">
        <f>"BASE "&amp;B5</f>
        <v>BASE IJUÍ</v>
      </c>
      <c r="C8" s="216" t="s">
        <v>20</v>
      </c>
      <c r="D8" s="216"/>
      <c r="E8" s="216"/>
      <c r="F8" s="216" t="s">
        <v>21</v>
      </c>
      <c r="G8" s="216"/>
      <c r="H8" s="216"/>
      <c r="I8" s="71" t="s">
        <v>22</v>
      </c>
      <c r="IP8" s="18"/>
    </row>
    <row r="9" spans="2:250" s="17" customFormat="1" ht="22.7" customHeight="1">
      <c r="B9" s="215"/>
      <c r="C9" s="72" t="s">
        <v>23</v>
      </c>
      <c r="D9" s="72" t="s">
        <v>24</v>
      </c>
      <c r="E9" s="72" t="s">
        <v>25</v>
      </c>
      <c r="F9" s="73" t="s">
        <v>23</v>
      </c>
      <c r="G9" s="73" t="s">
        <v>24</v>
      </c>
      <c r="H9" s="73" t="s">
        <v>25</v>
      </c>
      <c r="I9" s="73" t="s">
        <v>26</v>
      </c>
      <c r="IP9" s="18"/>
    </row>
    <row r="10" spans="2:250" ht="17.100000000000001" customHeight="1">
      <c r="B10" s="88" t="str">
        <f>'Base Ijuí'!B7</f>
        <v>APS Cerro Largo</v>
      </c>
      <c r="C10" s="6">
        <f>'Base Ijuí'!AO7</f>
        <v>1166.3135212437865</v>
      </c>
      <c r="D10" s="6">
        <f t="shared" ref="D10:D26" si="1">C10*3</f>
        <v>3498.9405637313594</v>
      </c>
      <c r="E10" s="6">
        <f t="shared" ref="E10:E26" si="2">C10+D10</f>
        <v>4665.2540849751458</v>
      </c>
      <c r="F10" s="6">
        <f t="shared" ref="F10:F26" si="3">C10*12</f>
        <v>13995.762254925437</v>
      </c>
      <c r="G10" s="6">
        <f t="shared" ref="G10:G26" si="4">F10*3</f>
        <v>41987.286764776312</v>
      </c>
      <c r="H10" s="6">
        <f t="shared" ref="H10:H26" si="5">F10+G10</f>
        <v>55983.04901970175</v>
      </c>
      <c r="I10" s="20">
        <f t="shared" ref="I10:I28" si="6">F10/$E$6</f>
        <v>4.5355354982313911E-2</v>
      </c>
    </row>
    <row r="11" spans="2:250" ht="17.100000000000001" customHeight="1">
      <c r="B11" s="88" t="str">
        <f>'Base Ijuí'!B8</f>
        <v>APS Frederico Westphalen</v>
      </c>
      <c r="C11" s="6">
        <f>'Base Ijuí'!AO8</f>
        <v>1471.5242526219774</v>
      </c>
      <c r="D11" s="6">
        <f t="shared" si="1"/>
        <v>4414.5727578659325</v>
      </c>
      <c r="E11" s="6">
        <f t="shared" si="2"/>
        <v>5886.0970104879098</v>
      </c>
      <c r="F11" s="6">
        <f t="shared" si="3"/>
        <v>17658.29103146373</v>
      </c>
      <c r="G11" s="6">
        <f t="shared" si="4"/>
        <v>52974.873094391194</v>
      </c>
      <c r="H11" s="6">
        <f t="shared" si="5"/>
        <v>70633.164125854921</v>
      </c>
      <c r="I11" s="20">
        <f t="shared" si="6"/>
        <v>5.7224325729825304E-2</v>
      </c>
    </row>
    <row r="12" spans="2:250" ht="17.100000000000001" customHeight="1">
      <c r="B12" s="88" t="str">
        <f>'Base Ijuí'!B9</f>
        <v>APS Giruá</v>
      </c>
      <c r="C12" s="6">
        <f>'Base Ijuí'!AO9</f>
        <v>1064.0900287140382</v>
      </c>
      <c r="D12" s="6">
        <f t="shared" si="1"/>
        <v>3192.2700861421145</v>
      </c>
      <c r="E12" s="6">
        <f t="shared" si="2"/>
        <v>4256.3601148561529</v>
      </c>
      <c r="F12" s="6">
        <f t="shared" si="3"/>
        <v>12769.080344568458</v>
      </c>
      <c r="G12" s="6">
        <f t="shared" si="4"/>
        <v>38307.241033705373</v>
      </c>
      <c r="H12" s="6">
        <f t="shared" si="5"/>
        <v>51076.321378273831</v>
      </c>
      <c r="I12" s="20">
        <f t="shared" si="6"/>
        <v>4.1380109298568175E-2</v>
      </c>
    </row>
    <row r="13" spans="2:250" ht="17.100000000000001" customHeight="1">
      <c r="B13" s="88" t="str">
        <f>'Base Ijuí'!B10</f>
        <v>APS Horizontina</v>
      </c>
      <c r="C13" s="6">
        <f>'Base Ijuí'!AO10</f>
        <v>1078.7955338737606</v>
      </c>
      <c r="D13" s="6">
        <f t="shared" si="1"/>
        <v>3236.3866016212819</v>
      </c>
      <c r="E13" s="6">
        <f t="shared" si="2"/>
        <v>4315.1821354950425</v>
      </c>
      <c r="F13" s="6">
        <f t="shared" si="3"/>
        <v>12945.546406485128</v>
      </c>
      <c r="G13" s="6">
        <f t="shared" si="4"/>
        <v>38836.639219455385</v>
      </c>
      <c r="H13" s="6">
        <f t="shared" si="5"/>
        <v>51782.18562594051</v>
      </c>
      <c r="I13" s="20">
        <f t="shared" si="6"/>
        <v>4.1951973891205488E-2</v>
      </c>
    </row>
    <row r="14" spans="2:250" ht="17.100000000000001" customHeight="1">
      <c r="B14" s="88" t="str">
        <f>'Base Ijuí'!B11</f>
        <v>APS Palmeira Das Missões</v>
      </c>
      <c r="C14" s="6">
        <f>'Base Ijuí'!AO11</f>
        <v>1650.729860429549</v>
      </c>
      <c r="D14" s="6">
        <f t="shared" si="1"/>
        <v>4952.1895812886469</v>
      </c>
      <c r="E14" s="6">
        <f t="shared" si="2"/>
        <v>6602.9194417181961</v>
      </c>
      <c r="F14" s="6">
        <f t="shared" si="3"/>
        <v>19808.758325154588</v>
      </c>
      <c r="G14" s="6">
        <f t="shared" si="4"/>
        <v>59426.274975463763</v>
      </c>
      <c r="H14" s="6">
        <f t="shared" si="5"/>
        <v>79235.03330061835</v>
      </c>
      <c r="I14" s="20">
        <f t="shared" si="6"/>
        <v>6.4193235726055037E-2</v>
      </c>
    </row>
    <row r="15" spans="2:250" ht="17.100000000000001" customHeight="1">
      <c r="B15" s="88" t="str">
        <f>'Base Ijuí'!B12</f>
        <v>APS Panambi</v>
      </c>
      <c r="C15" s="6">
        <f>'Base Ijuí'!AO12</f>
        <v>1105.0553645161217</v>
      </c>
      <c r="D15" s="6">
        <f t="shared" si="1"/>
        <v>3315.1660935483651</v>
      </c>
      <c r="E15" s="6">
        <f t="shared" si="2"/>
        <v>4420.2214580644868</v>
      </c>
      <c r="F15" s="6">
        <f t="shared" si="3"/>
        <v>13260.66437419346</v>
      </c>
      <c r="G15" s="6">
        <f t="shared" si="4"/>
        <v>39781.993122580381</v>
      </c>
      <c r="H15" s="6">
        <f t="shared" si="5"/>
        <v>53042.657496773842</v>
      </c>
      <c r="I15" s="20">
        <f t="shared" si="6"/>
        <v>4.2973160663772089E-2</v>
      </c>
    </row>
    <row r="16" spans="2:250" ht="17.100000000000001" customHeight="1">
      <c r="B16" s="88" t="str">
        <f>'Base Ijuí'!B13</f>
        <v>APS Porto Lucena</v>
      </c>
      <c r="C16" s="6">
        <f>'Base Ijuí'!AO13</f>
        <v>1198.5403616029273</v>
      </c>
      <c r="D16" s="6">
        <f t="shared" si="1"/>
        <v>3595.6210848087821</v>
      </c>
      <c r="E16" s="6">
        <f t="shared" si="2"/>
        <v>4794.1614464117092</v>
      </c>
      <c r="F16" s="6">
        <f t="shared" si="3"/>
        <v>14382.484339235129</v>
      </c>
      <c r="G16" s="6">
        <f t="shared" si="4"/>
        <v>43147.453017705382</v>
      </c>
      <c r="H16" s="6">
        <f t="shared" si="5"/>
        <v>57529.937356940514</v>
      </c>
      <c r="I16" s="20">
        <f t="shared" si="6"/>
        <v>4.6608585574109199E-2</v>
      </c>
    </row>
    <row r="17" spans="2:9" ht="17.100000000000001" customHeight="1">
      <c r="B17" s="88" t="str">
        <f>'Base Ijuí'!B14</f>
        <v>APS Santa Rosa</v>
      </c>
      <c r="C17" s="6">
        <f>'Base Ijuí'!AO14</f>
        <v>1475.2876221788226</v>
      </c>
      <c r="D17" s="6">
        <f t="shared" si="1"/>
        <v>4425.8628665364677</v>
      </c>
      <c r="E17" s="6">
        <f t="shared" si="2"/>
        <v>5901.1504887152905</v>
      </c>
      <c r="F17" s="6">
        <f t="shared" si="3"/>
        <v>17703.451466145871</v>
      </c>
      <c r="G17" s="6">
        <f t="shared" si="4"/>
        <v>53110.354398437616</v>
      </c>
      <c r="H17" s="6">
        <f t="shared" si="5"/>
        <v>70813.805864583483</v>
      </c>
      <c r="I17" s="20">
        <f t="shared" si="6"/>
        <v>5.7370674853856989E-2</v>
      </c>
    </row>
    <row r="18" spans="2:9" ht="17.100000000000001" customHeight="1">
      <c r="B18" s="88" t="str">
        <f>'Base Ijuí'!B15</f>
        <v>APS São Luiz Gonzaga</v>
      </c>
      <c r="C18" s="6">
        <f>'Base Ijuí'!AO15</f>
        <v>1592.3100745163545</v>
      </c>
      <c r="D18" s="6">
        <f t="shared" si="1"/>
        <v>4776.9302235490632</v>
      </c>
      <c r="E18" s="6">
        <f t="shared" si="2"/>
        <v>6369.2402980654178</v>
      </c>
      <c r="F18" s="6">
        <f t="shared" si="3"/>
        <v>19107.720894196253</v>
      </c>
      <c r="G18" s="6">
        <f t="shared" si="4"/>
        <v>57323.162682588758</v>
      </c>
      <c r="H18" s="6">
        <f t="shared" si="5"/>
        <v>76430.883576785011</v>
      </c>
      <c r="I18" s="20">
        <f t="shared" si="6"/>
        <v>6.1921419374943831E-2</v>
      </c>
    </row>
    <row r="19" spans="2:9" ht="17.100000000000001" customHeight="1">
      <c r="B19" s="88" t="str">
        <f>'Base Ijuí'!B16</f>
        <v>APS Três De Maio</v>
      </c>
      <c r="C19" s="6">
        <f>'Base Ijuí'!AO16</f>
        <v>1078.7955338737606</v>
      </c>
      <c r="D19" s="6">
        <f t="shared" si="1"/>
        <v>3236.3866016212819</v>
      </c>
      <c r="E19" s="6">
        <f t="shared" si="2"/>
        <v>4315.1821354950425</v>
      </c>
      <c r="F19" s="6">
        <f t="shared" si="3"/>
        <v>12945.546406485128</v>
      </c>
      <c r="G19" s="6">
        <f t="shared" si="4"/>
        <v>38836.639219455385</v>
      </c>
      <c r="H19" s="6">
        <f t="shared" si="5"/>
        <v>51782.18562594051</v>
      </c>
      <c r="I19" s="20">
        <f t="shared" si="6"/>
        <v>4.1951973891205488E-2</v>
      </c>
    </row>
    <row r="20" spans="2:9" ht="17.100000000000001" customHeight="1">
      <c r="B20" s="88" t="str">
        <f>'Base Ijuí'!B17</f>
        <v>APS Três Passos</v>
      </c>
      <c r="C20" s="6">
        <f>'Base Ijuí'!AO17</f>
        <v>1719.5979053659894</v>
      </c>
      <c r="D20" s="6">
        <f t="shared" si="1"/>
        <v>5158.7937160979682</v>
      </c>
      <c r="E20" s="6">
        <f t="shared" si="2"/>
        <v>6878.3916214639576</v>
      </c>
      <c r="F20" s="6">
        <f t="shared" si="3"/>
        <v>20635.174864391873</v>
      </c>
      <c r="G20" s="6">
        <f t="shared" si="4"/>
        <v>61905.524593175622</v>
      </c>
      <c r="H20" s="6">
        <f t="shared" si="5"/>
        <v>82540.699457567491</v>
      </c>
      <c r="I20" s="20">
        <f t="shared" si="6"/>
        <v>6.6871361777186805E-2</v>
      </c>
    </row>
    <row r="21" spans="2:9" ht="17.100000000000001" customHeight="1">
      <c r="B21" s="88" t="str">
        <f>'Base Ijuí'!B18</f>
        <v>APS Santo Ângelo</v>
      </c>
      <c r="C21" s="6">
        <f>'Base Ijuí'!AO18</f>
        <v>1502.0249508323266</v>
      </c>
      <c r="D21" s="6">
        <f t="shared" si="1"/>
        <v>4506.0748524969795</v>
      </c>
      <c r="E21" s="6">
        <f t="shared" si="2"/>
        <v>6008.0998033293063</v>
      </c>
      <c r="F21" s="6">
        <f t="shared" si="3"/>
        <v>18024.299409987918</v>
      </c>
      <c r="G21" s="6">
        <f t="shared" si="4"/>
        <v>54072.898229963757</v>
      </c>
      <c r="H21" s="6">
        <f t="shared" si="5"/>
        <v>72097.197639951672</v>
      </c>
      <c r="I21" s="20">
        <f t="shared" si="6"/>
        <v>5.8410430468681065E-2</v>
      </c>
    </row>
    <row r="22" spans="2:9" ht="17.100000000000001" customHeight="1">
      <c r="B22" s="88" t="str">
        <f>'Base Ijuí'!B19</f>
        <v>GEX/APS Ijuí</v>
      </c>
      <c r="C22" s="6">
        <f>'Base Ijuí'!AO19</f>
        <v>1678.2150227607719</v>
      </c>
      <c r="D22" s="6">
        <f t="shared" si="1"/>
        <v>5034.6450682823161</v>
      </c>
      <c r="E22" s="6">
        <f t="shared" si="2"/>
        <v>6712.8600910430878</v>
      </c>
      <c r="F22" s="6">
        <f t="shared" si="3"/>
        <v>20138.580273129264</v>
      </c>
      <c r="G22" s="6">
        <f t="shared" si="4"/>
        <v>60415.740819387793</v>
      </c>
      <c r="H22" s="6">
        <f t="shared" si="5"/>
        <v>80554.321092517057</v>
      </c>
      <c r="I22" s="20">
        <f t="shared" si="6"/>
        <v>6.5262072939696991E-2</v>
      </c>
    </row>
    <row r="23" spans="2:9" ht="17.100000000000001" customHeight="1">
      <c r="B23" s="88" t="str">
        <f>'Base Ijuí'!B20</f>
        <v>APS Cruz Alta</v>
      </c>
      <c r="C23" s="6">
        <f>'Base Ijuí'!AO20</f>
        <v>1400.609384201658</v>
      </c>
      <c r="D23" s="6">
        <f t="shared" si="1"/>
        <v>4201.8281526049741</v>
      </c>
      <c r="E23" s="6">
        <f t="shared" si="2"/>
        <v>5602.4375368066321</v>
      </c>
      <c r="F23" s="6">
        <f t="shared" si="3"/>
        <v>16807.312610419896</v>
      </c>
      <c r="G23" s="6">
        <f t="shared" si="4"/>
        <v>50421.937831259689</v>
      </c>
      <c r="H23" s="6">
        <f t="shared" si="5"/>
        <v>67229.250441679585</v>
      </c>
      <c r="I23" s="20">
        <f t="shared" si="6"/>
        <v>5.4466603237422355E-2</v>
      </c>
    </row>
    <row r="24" spans="2:9" ht="17.100000000000001" customHeight="1">
      <c r="B24" s="88" t="str">
        <f>'Base Ijuí'!B21</f>
        <v>APS Ibirubá</v>
      </c>
      <c r="C24" s="6">
        <f>'Base Ijuí'!AO21</f>
        <v>1105.7693794792033</v>
      </c>
      <c r="D24" s="6">
        <f t="shared" si="1"/>
        <v>3317.3081384376101</v>
      </c>
      <c r="E24" s="6">
        <f t="shared" si="2"/>
        <v>4423.0775179168131</v>
      </c>
      <c r="F24" s="6">
        <f t="shared" si="3"/>
        <v>13269.23255375044</v>
      </c>
      <c r="G24" s="6">
        <f t="shared" si="4"/>
        <v>39807.697661251324</v>
      </c>
      <c r="H24" s="6">
        <f t="shared" si="5"/>
        <v>53076.930215001761</v>
      </c>
      <c r="I24" s="20">
        <f t="shared" si="6"/>
        <v>4.3000927127525942E-2</v>
      </c>
    </row>
    <row r="25" spans="2:9" ht="17.100000000000001" customHeight="1">
      <c r="B25" s="88" t="str">
        <f>'Base Ijuí'!B22</f>
        <v>APS Itaqui</v>
      </c>
      <c r="C25" s="6">
        <f>'Base Ijuí'!AO22</f>
        <v>1606.0088276222587</v>
      </c>
      <c r="D25" s="6">
        <f t="shared" si="1"/>
        <v>4818.026482866776</v>
      </c>
      <c r="E25" s="6">
        <f t="shared" si="2"/>
        <v>6424.0353104890346</v>
      </c>
      <c r="F25" s="6">
        <f t="shared" si="3"/>
        <v>19272.105931467104</v>
      </c>
      <c r="G25" s="6">
        <f t="shared" si="4"/>
        <v>57816.317794401315</v>
      </c>
      <c r="H25" s="6">
        <f t="shared" si="5"/>
        <v>77088.423725868415</v>
      </c>
      <c r="I25" s="20">
        <f t="shared" si="6"/>
        <v>6.2454133605394306E-2</v>
      </c>
    </row>
    <row r="26" spans="2:9" ht="17.100000000000001" customHeight="1">
      <c r="B26" s="88" t="str">
        <f>'Base Ijuí'!B23</f>
        <v>APS São Borja</v>
      </c>
      <c r="C26" s="6">
        <f>'Base Ijuí'!AO23</f>
        <v>1483.3374948009412</v>
      </c>
      <c r="D26" s="6">
        <f t="shared" si="1"/>
        <v>4450.0124844028232</v>
      </c>
      <c r="E26" s="6">
        <f t="shared" si="2"/>
        <v>5933.3499792037646</v>
      </c>
      <c r="F26" s="6">
        <f t="shared" si="3"/>
        <v>17800.049937611293</v>
      </c>
      <c r="G26" s="6">
        <f t="shared" si="4"/>
        <v>53400.149812833879</v>
      </c>
      <c r="H26" s="6">
        <f t="shared" si="5"/>
        <v>71200.199750445172</v>
      </c>
      <c r="I26" s="20">
        <f t="shared" si="6"/>
        <v>5.7683716607800854E-2</v>
      </c>
    </row>
    <row r="27" spans="2:9" ht="17.100000000000001" customHeight="1">
      <c r="B27" s="88" t="str">
        <f>'Base Ijuí'!B24</f>
        <v>APS Júlio de Castilhos</v>
      </c>
      <c r="C27" s="6">
        <f>'Base Ijuí'!AO24</f>
        <v>1182.3156599199697</v>
      </c>
      <c r="D27" s="6">
        <f t="shared" ref="D27:D28" si="7">C27*3</f>
        <v>3546.946979759909</v>
      </c>
      <c r="E27" s="6">
        <f t="shared" ref="E27:E28" si="8">C27+D27</f>
        <v>4729.2626396798787</v>
      </c>
      <c r="F27" s="6">
        <f t="shared" ref="F27:F28" si="9">C27*12</f>
        <v>14187.787919039636</v>
      </c>
      <c r="G27" s="6">
        <f t="shared" ref="G27:G28" si="10">F27*3</f>
        <v>42563.36375711891</v>
      </c>
      <c r="H27" s="6">
        <f t="shared" ref="H27:H28" si="11">F27+G27</f>
        <v>56751.151676158544</v>
      </c>
      <c r="I27" s="20">
        <f t="shared" si="6"/>
        <v>4.5977642786506137E-2</v>
      </c>
    </row>
    <row r="28" spans="2:9" ht="17.100000000000001" customHeight="1">
      <c r="B28" s="88" t="str">
        <f>'Base Ijuí'!B25</f>
        <v>APS Tupanciretã</v>
      </c>
      <c r="C28" s="6">
        <f>'Base Ijuí'!AO25</f>
        <v>1155.6917419868421</v>
      </c>
      <c r="D28" s="6">
        <f t="shared" si="7"/>
        <v>3467.075225960526</v>
      </c>
      <c r="E28" s="6">
        <f t="shared" si="8"/>
        <v>4622.7669679473684</v>
      </c>
      <c r="F28" s="6">
        <f t="shared" si="9"/>
        <v>13868.300903842104</v>
      </c>
      <c r="G28" s="6">
        <f t="shared" si="10"/>
        <v>41604.902711526316</v>
      </c>
      <c r="H28" s="6">
        <f t="shared" si="11"/>
        <v>55473.203615368417</v>
      </c>
      <c r="I28" s="20">
        <f t="shared" si="6"/>
        <v>4.4942297463930053E-2</v>
      </c>
    </row>
    <row r="29" spans="2:9" ht="22.7" customHeight="1">
      <c r="B29" s="21" t="str">
        <f>"Total Base "&amp;B5</f>
        <v>Total Base IJUÍ</v>
      </c>
      <c r="C29" s="21">
        <f>SUM(C10:C28)</f>
        <v>25715.012520541055</v>
      </c>
      <c r="D29" s="21">
        <f t="shared" ref="D29:H29" si="12">SUM(D10:D28)</f>
        <v>77145.03756162319</v>
      </c>
      <c r="E29" s="21">
        <f t="shared" si="12"/>
        <v>102860.05008216422</v>
      </c>
      <c r="F29" s="21">
        <f t="shared" si="12"/>
        <v>308580.15024649276</v>
      </c>
      <c r="G29" s="21">
        <f t="shared" si="12"/>
        <v>925740.45073947799</v>
      </c>
      <c r="H29" s="21">
        <f t="shared" si="12"/>
        <v>1234320.600985971</v>
      </c>
      <c r="I29" s="22">
        <f>SUM(I10:I28)</f>
        <v>1</v>
      </c>
    </row>
    <row r="30" spans="2:9" ht="22.7" customHeight="1">
      <c r="B30" s="23"/>
      <c r="C30" s="23"/>
      <c r="D30" s="23"/>
      <c r="E30" s="23"/>
      <c r="F30" s="23"/>
      <c r="G30" s="23"/>
      <c r="H30" s="23"/>
      <c r="I30" s="24"/>
    </row>
    <row r="31" spans="2:9" ht="22.7" customHeight="1">
      <c r="B31" s="19"/>
      <c r="C31" s="23"/>
      <c r="D31" s="23"/>
      <c r="E31" s="23"/>
      <c r="F31" s="23"/>
      <c r="G31" s="23"/>
      <c r="H31" s="23"/>
      <c r="I31" s="24"/>
    </row>
  </sheetData>
  <mergeCells count="4">
    <mergeCell ref="B2:I2"/>
    <mergeCell ref="B8:B9"/>
    <mergeCell ref="C8:E8"/>
    <mergeCell ref="F8:H8"/>
  </mergeCells>
  <printOptions horizontalCentered="1"/>
  <pageMargins left="0.15069444444444399" right="7.2916666666666699E-2" top="0.13750000000000001" bottom="8.2638888888888901E-2" header="0.51180555555555496" footer="0.51180555555555496"/>
  <pageSetup paperSize="9" pageOrder="overThenDown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FF"/>
  </sheetPr>
  <dimension ref="B1:IW65527"/>
  <sheetViews>
    <sheetView showGridLines="0" zoomScale="110" zoomScaleNormal="110" workbookViewId="0">
      <selection activeCell="C7" sqref="C7"/>
    </sheetView>
  </sheetViews>
  <sheetFormatPr defaultRowHeight="14.25"/>
  <cols>
    <col min="1" max="1" width="5.625" customWidth="1"/>
    <col min="2" max="2" width="21.625" customWidth="1"/>
    <col min="3" max="5" width="14.625" style="5" customWidth="1"/>
    <col min="6" max="6" width="13.5" style="5" customWidth="1"/>
    <col min="7" max="7" width="12.5" style="5" customWidth="1"/>
    <col min="8" max="257" width="10.625" style="5" customWidth="1"/>
    <col min="258" max="1025" width="10.5" customWidth="1"/>
  </cols>
  <sheetData>
    <row r="1" spans="2:5" ht="15" customHeight="1"/>
    <row r="2" spans="2:5" ht="24.95" customHeight="1">
      <c r="B2" s="217" t="str">
        <f>"CÁLCULO DO CUSTO DA EQUIPE TÉCNICA PARA O "&amp;'Valor da Contratação'!B7&amp;""</f>
        <v>CÁLCULO DO CUSTO DA EQUIPE TÉCNICA PARA O POLO X</v>
      </c>
      <c r="C2" s="218"/>
      <c r="D2" s="218"/>
      <c r="E2" s="219"/>
    </row>
    <row r="3" spans="2:5" ht="15" customHeight="1">
      <c r="B3" s="1"/>
      <c r="C3" s="1"/>
      <c r="D3" s="1"/>
      <c r="E3" s="1"/>
    </row>
    <row r="4" spans="2:5" ht="45.75" customHeight="1">
      <c r="B4" s="220" t="s">
        <v>27</v>
      </c>
      <c r="C4" s="83" t="s">
        <v>28</v>
      </c>
      <c r="D4" s="83" t="s">
        <v>29</v>
      </c>
      <c r="E4" s="83" t="s">
        <v>30</v>
      </c>
    </row>
    <row r="5" spans="2:5" ht="20.100000000000001" customHeight="1">
      <c r="B5" s="220"/>
      <c r="C5" s="61">
        <v>101.99</v>
      </c>
      <c r="D5" s="61">
        <f>'Comp. Eng. Eletricista'!D11</f>
        <v>108.89875000000001</v>
      </c>
      <c r="E5" s="61">
        <v>27.29</v>
      </c>
    </row>
    <row r="6" spans="2:5" ht="20.100000000000001" customHeight="1">
      <c r="B6" s="62" t="s">
        <v>31</v>
      </c>
      <c r="C6" s="155">
        <v>80</v>
      </c>
      <c r="D6" s="155">
        <v>16</v>
      </c>
      <c r="E6" s="155">
        <v>80</v>
      </c>
    </row>
    <row r="7" spans="2:5" ht="20.100000000000001" customHeight="1">
      <c r="B7" s="62" t="s">
        <v>32</v>
      </c>
      <c r="C7" s="61">
        <f>C5*C6</f>
        <v>8159.2</v>
      </c>
      <c r="D7" s="61">
        <f>D5*D6</f>
        <v>1742.38</v>
      </c>
      <c r="E7" s="61">
        <f>E5*E6</f>
        <v>2183.1999999999998</v>
      </c>
    </row>
    <row r="8" spans="2:5" ht="20.100000000000001" customHeight="1">
      <c r="B8" s="62" t="s">
        <v>33</v>
      </c>
      <c r="C8" s="61">
        <f>C5*C6*12</f>
        <v>97910.399999999994</v>
      </c>
      <c r="D8" s="61">
        <f>D5*D6*12</f>
        <v>20908.560000000001</v>
      </c>
      <c r="E8" s="61">
        <f>E5*E6*12</f>
        <v>26198.399999999998</v>
      </c>
    </row>
    <row r="9" spans="2:5" ht="20.100000000000001" customHeight="1">
      <c r="B9" s="25" t="s">
        <v>235</v>
      </c>
      <c r="C9" s="26"/>
      <c r="D9" s="26"/>
      <c r="E9" s="26"/>
    </row>
    <row r="10" spans="2:5" ht="20.100000000000001" customHeight="1">
      <c r="C10" s="26"/>
      <c r="D10" s="26"/>
      <c r="E10" s="26"/>
    </row>
    <row r="11" spans="2:5" ht="20.100000000000001" customHeight="1">
      <c r="B11" s="221" t="s">
        <v>34</v>
      </c>
      <c r="C11" s="222"/>
      <c r="E11" s="26"/>
    </row>
    <row r="12" spans="2:5" ht="20.100000000000001" customHeight="1">
      <c r="B12" s="62" t="s">
        <v>35</v>
      </c>
      <c r="C12" s="61">
        <f>SUM(C7:E7)</f>
        <v>12084.779999999999</v>
      </c>
      <c r="E12" s="26"/>
    </row>
    <row r="13" spans="2:5" ht="20.100000000000001" customHeight="1">
      <c r="B13" s="62" t="s">
        <v>36</v>
      </c>
      <c r="C13" s="61">
        <f>SUM(C8:E8)</f>
        <v>145017.35999999999</v>
      </c>
    </row>
    <row r="65527" ht="12.75" customHeight="1"/>
  </sheetData>
  <mergeCells count="3">
    <mergeCell ref="B2:E2"/>
    <mergeCell ref="B4:B5"/>
    <mergeCell ref="B11:C11"/>
  </mergeCells>
  <printOptions horizontalCentered="1"/>
  <pageMargins left="0.78749999999999998" right="0.78749999999999998" top="0.47777777777777802" bottom="0.196527777777778" header="0.51180555555555496" footer="0.51180555555555496"/>
  <pageSetup paperSize="9" pageOrder="overThenDown" orientation="portrait" useFirstPageNumber="1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9FF66"/>
  </sheetPr>
  <dimension ref="B1:IV31"/>
  <sheetViews>
    <sheetView showGridLines="0" zoomScale="110" zoomScaleNormal="110" workbookViewId="0">
      <selection activeCell="X28" sqref="X28"/>
    </sheetView>
  </sheetViews>
  <sheetFormatPr defaultRowHeight="14.25"/>
  <cols>
    <col min="1" max="1" width="5.625" customWidth="1"/>
    <col min="2" max="2" width="33.625" style="7" customWidth="1"/>
    <col min="3" max="15" width="12.625" style="7" customWidth="1"/>
    <col min="16" max="16" width="8.375" style="7" customWidth="1"/>
    <col min="17" max="17" width="33" style="7" bestFit="1" customWidth="1"/>
    <col min="18" max="33" width="11.5" style="7"/>
    <col min="34" max="34" width="11" style="7" customWidth="1"/>
    <col min="35" max="35" width="33" style="7" bestFit="1" customWidth="1"/>
    <col min="36" max="36" width="10.625" style="7" customWidth="1"/>
    <col min="37" max="40" width="11.75" style="7" bestFit="1" customWidth="1"/>
    <col min="41" max="42" width="11.375" style="7" customWidth="1"/>
    <col min="43" max="43" width="12.875" style="7" customWidth="1"/>
    <col min="44" max="44" width="3.375" style="7" customWidth="1"/>
    <col min="45" max="45" width="28.125" style="7" bestFit="1" customWidth="1"/>
    <col min="46" max="46" width="12.75" style="7" customWidth="1"/>
    <col min="47" max="49" width="11.75" style="7" customWidth="1"/>
    <col min="50" max="256" width="10.625" style="7" customWidth="1"/>
    <col min="257" max="1012" width="10.5" customWidth="1"/>
  </cols>
  <sheetData>
    <row r="1" spans="2:49" ht="15" customHeight="1"/>
    <row r="2" spans="2:49" s="28" customFormat="1" ht="24.95" customHeight="1">
      <c r="B2" s="228" t="str">
        <f>"BASE "&amp;Resumo!B5&amp;" - PLANILHA DE FORMAÇÃO DE PREÇOS"</f>
        <v>BASE IJUÍ - PLANILHA DE FORMAÇÃO DE PREÇOS</v>
      </c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30"/>
      <c r="P2" s="2"/>
      <c r="Q2" s="217" t="str">
        <f>"BASE "&amp;Resumo!B5&amp;" – PLANILHA DE DISTRIBUIÇÃO DE CUSTOS POR UNIDADE"</f>
        <v>BASE IJUÍ – PLANILHA DE DISTRIBUIÇÃO DE CUSTOS POR UNIDADE</v>
      </c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9"/>
      <c r="AH2" s="27"/>
      <c r="AI2" s="234" t="str">
        <f>"BASE "&amp;Resumo!B5&amp;" – PLANILHA RESUMO DE CUSTOS DA BASE"</f>
        <v>BASE IJUÍ – PLANILHA RESUMO DE CUSTOS DA BASE</v>
      </c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6"/>
    </row>
    <row r="3" spans="2:49" ht="15" customHeight="1"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2:49" s="18" customFormat="1" ht="19.899999999999999" customHeight="1">
      <c r="B4" s="224" t="s">
        <v>37</v>
      </c>
      <c r="C4" s="224" t="s">
        <v>38</v>
      </c>
      <c r="D4" s="224"/>
      <c r="E4" s="224"/>
      <c r="F4" s="224"/>
      <c r="G4" s="224"/>
      <c r="H4" s="224" t="s">
        <v>39</v>
      </c>
      <c r="I4" s="224"/>
      <c r="J4" s="224"/>
      <c r="K4" s="224"/>
      <c r="L4" s="224"/>
      <c r="M4" s="224"/>
      <c r="N4" s="224"/>
      <c r="O4" s="224" t="s">
        <v>25</v>
      </c>
      <c r="P4" s="2"/>
      <c r="Q4" s="224" t="s">
        <v>40</v>
      </c>
      <c r="R4" s="226" t="s">
        <v>41</v>
      </c>
      <c r="S4" s="226"/>
      <c r="T4" s="226"/>
      <c r="U4" s="226"/>
      <c r="V4" s="226" t="s">
        <v>42</v>
      </c>
      <c r="W4" s="226"/>
      <c r="X4" s="226"/>
      <c r="Y4" s="226"/>
      <c r="Z4" s="226" t="s">
        <v>43</v>
      </c>
      <c r="AA4" s="226"/>
      <c r="AB4" s="226"/>
      <c r="AC4" s="226"/>
      <c r="AD4" s="226" t="s">
        <v>44</v>
      </c>
      <c r="AE4" s="226"/>
      <c r="AF4" s="226"/>
      <c r="AG4" s="226"/>
      <c r="AI4" s="224" t="s">
        <v>40</v>
      </c>
      <c r="AJ4" s="227" t="s">
        <v>45</v>
      </c>
      <c r="AK4" s="227"/>
      <c r="AL4" s="227"/>
      <c r="AM4" s="227"/>
      <c r="AN4" s="227"/>
      <c r="AO4" s="227" t="s">
        <v>46</v>
      </c>
      <c r="AP4" s="227"/>
      <c r="AQ4" s="227"/>
      <c r="AR4" s="29"/>
      <c r="AS4" s="227" t="str">
        <f>"Resumo de Custos da Base "&amp;Resumo!B5</f>
        <v>Resumo de Custos da Base IJUÍ</v>
      </c>
      <c r="AT4" s="227"/>
      <c r="AU4" s="227"/>
      <c r="AV4" s="227"/>
      <c r="AW4" s="227"/>
    </row>
    <row r="5" spans="2:49" ht="39.950000000000003" customHeight="1">
      <c r="B5" s="224"/>
      <c r="C5" s="78" t="s">
        <v>25</v>
      </c>
      <c r="D5" s="78" t="s">
        <v>47</v>
      </c>
      <c r="E5" s="78" t="s">
        <v>48</v>
      </c>
      <c r="F5" s="78" t="s">
        <v>49</v>
      </c>
      <c r="G5" s="224" t="s">
        <v>50</v>
      </c>
      <c r="H5" s="78" t="s">
        <v>51</v>
      </c>
      <c r="I5" s="78" t="s">
        <v>52</v>
      </c>
      <c r="J5" s="78" t="s">
        <v>53</v>
      </c>
      <c r="K5" s="78" t="s">
        <v>54</v>
      </c>
      <c r="L5" s="78" t="s">
        <v>55</v>
      </c>
      <c r="M5" s="78" t="s">
        <v>56</v>
      </c>
      <c r="N5" s="224" t="s">
        <v>57</v>
      </c>
      <c r="O5" s="224"/>
      <c r="P5" s="2"/>
      <c r="Q5" s="224"/>
      <c r="R5" s="78" t="s">
        <v>58</v>
      </c>
      <c r="S5" s="78" t="s">
        <v>59</v>
      </c>
      <c r="T5" s="78" t="s">
        <v>60</v>
      </c>
      <c r="U5" s="78" t="s">
        <v>61</v>
      </c>
      <c r="V5" s="224" t="s">
        <v>62</v>
      </c>
      <c r="W5" s="224" t="s">
        <v>63</v>
      </c>
      <c r="X5" s="224" t="s">
        <v>64</v>
      </c>
      <c r="Y5" s="224" t="s">
        <v>65</v>
      </c>
      <c r="Z5" s="231" t="s">
        <v>66</v>
      </c>
      <c r="AA5" s="232"/>
      <c r="AB5" s="233"/>
      <c r="AC5" s="78">
        <f>N26</f>
        <v>769.34999999999991</v>
      </c>
      <c r="AD5" s="226" t="s">
        <v>58</v>
      </c>
      <c r="AE5" s="226" t="s">
        <v>59</v>
      </c>
      <c r="AF5" s="226" t="s">
        <v>60</v>
      </c>
      <c r="AG5" s="226" t="s">
        <v>61</v>
      </c>
      <c r="AI5" s="224"/>
      <c r="AJ5" s="226" t="s">
        <v>67</v>
      </c>
      <c r="AK5" s="226" t="s">
        <v>58</v>
      </c>
      <c r="AL5" s="226" t="s">
        <v>59</v>
      </c>
      <c r="AM5" s="226" t="s">
        <v>60</v>
      </c>
      <c r="AN5" s="226" t="s">
        <v>61</v>
      </c>
      <c r="AO5" s="226" t="s">
        <v>68</v>
      </c>
      <c r="AP5" s="226" t="s">
        <v>69</v>
      </c>
      <c r="AQ5" s="226" t="s">
        <v>70</v>
      </c>
      <c r="AR5" s="27"/>
      <c r="AS5" s="226" t="s">
        <v>71</v>
      </c>
      <c r="AT5" s="84" t="s">
        <v>58</v>
      </c>
      <c r="AU5" s="84" t="s">
        <v>59</v>
      </c>
      <c r="AV5" s="84" t="s">
        <v>60</v>
      </c>
      <c r="AW5" s="84" t="s">
        <v>61</v>
      </c>
    </row>
    <row r="6" spans="2:49" ht="19.899999999999999" customHeight="1">
      <c r="B6" s="224"/>
      <c r="C6" s="79" t="s">
        <v>72</v>
      </c>
      <c r="D6" s="79">
        <v>1</v>
      </c>
      <c r="E6" s="79">
        <v>0.35</v>
      </c>
      <c r="F6" s="79">
        <v>0.1</v>
      </c>
      <c r="G6" s="224"/>
      <c r="H6" s="79">
        <v>1</v>
      </c>
      <c r="I6" s="79">
        <v>1.2</v>
      </c>
      <c r="J6" s="79">
        <v>2</v>
      </c>
      <c r="K6" s="79">
        <v>4</v>
      </c>
      <c r="L6" s="79">
        <v>1.1000000000000001</v>
      </c>
      <c r="M6" s="79">
        <v>1.1000000000000001</v>
      </c>
      <c r="N6" s="224"/>
      <c r="O6" s="224"/>
      <c r="P6" s="30"/>
      <c r="Q6" s="224"/>
      <c r="R6" s="79" t="s">
        <v>73</v>
      </c>
      <c r="S6" s="79" t="s">
        <v>74</v>
      </c>
      <c r="T6" s="79" t="s">
        <v>75</v>
      </c>
      <c r="U6" s="79" t="s">
        <v>76</v>
      </c>
      <c r="V6" s="224"/>
      <c r="W6" s="224"/>
      <c r="X6" s="224"/>
      <c r="Y6" s="224"/>
      <c r="Z6" s="73" t="s">
        <v>58</v>
      </c>
      <c r="AA6" s="73" t="s">
        <v>59</v>
      </c>
      <c r="AB6" s="73" t="s">
        <v>60</v>
      </c>
      <c r="AC6" s="73" t="s">
        <v>61</v>
      </c>
      <c r="AD6" s="226"/>
      <c r="AE6" s="226"/>
      <c r="AF6" s="226"/>
      <c r="AG6" s="226"/>
      <c r="AI6" s="224"/>
      <c r="AJ6" s="226"/>
      <c r="AK6" s="226"/>
      <c r="AL6" s="226"/>
      <c r="AM6" s="226"/>
      <c r="AN6" s="226"/>
      <c r="AO6" s="226"/>
      <c r="AP6" s="226"/>
      <c r="AQ6" s="226"/>
      <c r="AR6" s="31"/>
      <c r="AS6" s="226"/>
      <c r="AT6" s="73" t="s">
        <v>73</v>
      </c>
      <c r="AU6" s="73" t="s">
        <v>74</v>
      </c>
      <c r="AV6" s="73" t="s">
        <v>75</v>
      </c>
      <c r="AW6" s="73" t="s">
        <v>76</v>
      </c>
    </row>
    <row r="7" spans="2:49" s="5" customFormat="1" ht="15" customHeight="1">
      <c r="B7" s="48" t="s">
        <v>77</v>
      </c>
      <c r="C7" s="49">
        <f>VLOOKUP($B7,Unidades!$D$5:$N$23,6,FALSE())</f>
        <v>452.2</v>
      </c>
      <c r="D7" s="49">
        <f>VLOOKUP($B7,Unidades!$D$5:$N$23,7,FALSE())</f>
        <v>391.69</v>
      </c>
      <c r="E7" s="49">
        <f>VLOOKUP($B7,Unidades!$D$5:$N$23,8,FALSE())</f>
        <v>60.51</v>
      </c>
      <c r="F7" s="49">
        <f>VLOOKUP($B7,Unidades!$D$5:$N$23,9,FALSE())</f>
        <v>0</v>
      </c>
      <c r="G7" s="49">
        <f t="shared" ref="G7:G22" si="0">D7+E7*$E$6+F7*$F$6</f>
        <v>412.86849999999998</v>
      </c>
      <c r="H7" s="50">
        <f t="shared" ref="H7:H22" si="1">IF(G7&lt;750,1.5,IF(G7&lt;2000,2,3))</f>
        <v>1.5</v>
      </c>
      <c r="I7" s="50">
        <f t="shared" ref="I7:I22" si="2">$I$6*H7</f>
        <v>1.7999999999999998</v>
      </c>
      <c r="J7" s="50" t="str">
        <f>VLOOKUP($B7,Unidades!$D$5:$N$23,10,FALSE())</f>
        <v>NÃO</v>
      </c>
      <c r="K7" s="50" t="str">
        <f>VLOOKUP($B7,Unidades!$D$5:$N$23,11,FALSE())</f>
        <v>SIM</v>
      </c>
      <c r="L7" s="50">
        <f t="shared" ref="L7:L22" si="3">$L$6*H7+(IF(J7="SIM",$J$6,0))</f>
        <v>1.6500000000000001</v>
      </c>
      <c r="M7" s="50">
        <f t="shared" ref="M7:M16" si="4">$M$6*H7+(IF(J7="SIM",$J$6,0))+(IF(K7="SIM",$K$6,0))</f>
        <v>5.65</v>
      </c>
      <c r="N7" s="50">
        <f t="shared" ref="N7:N16" si="5">H7*12+I7*4+L7*2+M7</f>
        <v>34.15</v>
      </c>
      <c r="O7" s="51">
        <f>IF(K7="não", N7*(C$29+D$29),N7*(C$29+D$29)+(M7*+E$29))</f>
        <v>1712.7775000000001</v>
      </c>
      <c r="P7" s="32"/>
      <c r="Q7" s="53" t="str">
        <f t="shared" ref="Q7:Q25" si="6">B7</f>
        <v>APS Cerro Largo</v>
      </c>
      <c r="R7" s="6">
        <f>H7*($C$29+$D$29)</f>
        <v>67.680000000000007</v>
      </c>
      <c r="S7" s="6">
        <f>I7*($C$29+$D$29)</f>
        <v>81.215999999999994</v>
      </c>
      <c r="T7" s="6">
        <f>L7*($C$29+$D$29)</f>
        <v>74.448000000000008</v>
      </c>
      <c r="U7" s="6">
        <f>IF(K7="não",M7*($C$29+$D$29),M7*(C$29+D$29+E$29))</f>
        <v>426.85750000000007</v>
      </c>
      <c r="V7" s="6">
        <f>VLOOKUP(Q7,'Desl. Base Ijuí'!$C$5:$S$23,13,FALSE())*($C$29+$D$29+$E$29*(VLOOKUP(Q7,'Desl. Base Ijuí'!$C$5:$S$23,17,FALSE())/12))</f>
        <v>96.900194444444452</v>
      </c>
      <c r="W7" s="6">
        <f>VLOOKUP(Q7,'Desl. Base Ijuí'!$C$5:$S$23,15,FALSE())*(2+(VLOOKUP(Q7,'Desl. Base Ijuí'!$C$5:$S$23,17,FALSE())/12))</f>
        <v>0</v>
      </c>
      <c r="X7" s="6">
        <f>VLOOKUP(Q7,'Desl. Base Ijuí'!$C$5:$Q$23,14,FALSE())</f>
        <v>0</v>
      </c>
      <c r="Y7" s="6">
        <f>VLOOKUP(Q7,'Desl. Base Ijuí'!$C$5:$Q$23,13,FALSE())*'Desl. Base Ijuí'!$E$28+'Desl. Base Ijuí'!$E$29*N7/12</f>
        <v>122.56354166666665</v>
      </c>
      <c r="Z7" s="6">
        <f>(H7/$AC$5)*'Equipe Técnica'!$C$13</f>
        <v>282.74002729576915</v>
      </c>
      <c r="AA7" s="6">
        <f>(I7/$AC$5)*'Equipe Técnica'!$C$13</f>
        <v>339.28803275492299</v>
      </c>
      <c r="AB7" s="6">
        <f>(L7/$AC$5)*'Equipe Técnica'!$C$13</f>
        <v>311.01403002534613</v>
      </c>
      <c r="AC7" s="6">
        <f>(M7/$AC$5)*'Equipe Técnica'!$C$13</f>
        <v>1064.9874361473974</v>
      </c>
      <c r="AD7" s="6">
        <f t="shared" ref="AD7:AD16" si="7">R7+(($V7+$W7+$X7+$Y7)*12/19)+$Z7</f>
        <v>489.02870273436565</v>
      </c>
      <c r="AE7" s="6">
        <f t="shared" ref="AE7:AE16" si="8">S7+(($V7+$W7+$X7+$Y7)*12/19)+$AA7</f>
        <v>559.11270819351944</v>
      </c>
      <c r="AF7" s="6">
        <f t="shared" ref="AF7:AF16" si="9">T7+(($V7+$W7+$X7+$Y7)*12/19)+$AB7</f>
        <v>524.07070546394266</v>
      </c>
      <c r="AG7" s="6">
        <f t="shared" ref="AG7:AG16" si="10">U7+(($V7+$W7+$X7+$Y7)*12/19)+$AC7</f>
        <v>1630.4536115859939</v>
      </c>
      <c r="AI7" s="53" t="str">
        <f t="shared" ref="AI7:AI22" si="11">B7</f>
        <v>APS Cerro Largo</v>
      </c>
      <c r="AJ7" s="63">
        <f>VLOOKUP(AI7,Unidades!D$5:H$23,5,)</f>
        <v>0.2979</v>
      </c>
      <c r="AK7" s="61">
        <f t="shared" ref="AK7" si="12">AD7*(1+$AJ7)</f>
        <v>634.71035327893321</v>
      </c>
      <c r="AL7" s="61">
        <f t="shared" ref="AL7" si="13">AE7*(1+$AJ7)</f>
        <v>725.67238396436892</v>
      </c>
      <c r="AM7" s="61">
        <f t="shared" ref="AM7" si="14">AF7*(1+$AJ7)</f>
        <v>680.19136862165124</v>
      </c>
      <c r="AN7" s="61">
        <f t="shared" ref="AN7" si="15">AG7*(1+$AJ7)</f>
        <v>2116.1657424774617</v>
      </c>
      <c r="AO7" s="61">
        <f t="shared" ref="AO7" si="16">((AK7*12)+(AL7*4)+(AM7*2)+AN7)/12</f>
        <v>1166.3135212437865</v>
      </c>
      <c r="AP7" s="61">
        <f t="shared" ref="AP7" si="17">AO7*3</f>
        <v>3498.9405637313594</v>
      </c>
      <c r="AQ7" s="61">
        <f t="shared" ref="AQ7" si="18">AO7+AP7</f>
        <v>4665.2540849751458</v>
      </c>
      <c r="AR7" s="65"/>
      <c r="AS7" s="66" t="s">
        <v>78</v>
      </c>
      <c r="AT7" s="61">
        <f>AK26</f>
        <v>13887.32202777535</v>
      </c>
      <c r="AU7" s="61">
        <f>AL26</f>
        <v>15913.941213637705</v>
      </c>
      <c r="AV7" s="61">
        <f>AM26</f>
        <v>17319.557707794069</v>
      </c>
      <c r="AW7" s="61">
        <f>AN26</f>
        <v>43637.405643049497</v>
      </c>
    </row>
    <row r="8" spans="2:49" s="5" customFormat="1" ht="15" customHeight="1">
      <c r="B8" s="48" t="s">
        <v>79</v>
      </c>
      <c r="C8" s="49">
        <f>VLOOKUP($B8,Unidades!$D$5:$N$23,6,FALSE())</f>
        <v>1215.58</v>
      </c>
      <c r="D8" s="49">
        <f>VLOOKUP($B8,Unidades!$D$5:$N$23,7,FALSE())</f>
        <v>869.15</v>
      </c>
      <c r="E8" s="49">
        <f>VLOOKUP($B8,Unidades!$D$5:$N$23,8,FALSE())</f>
        <v>231.03</v>
      </c>
      <c r="F8" s="49">
        <f>VLOOKUP($B8,Unidades!$D$5:$N$23,9,FALSE())</f>
        <v>115.4</v>
      </c>
      <c r="G8" s="49">
        <f t="shared" si="0"/>
        <v>961.55049999999994</v>
      </c>
      <c r="H8" s="50">
        <f t="shared" si="1"/>
        <v>2</v>
      </c>
      <c r="I8" s="50">
        <f t="shared" si="2"/>
        <v>2.4</v>
      </c>
      <c r="J8" s="50" t="str">
        <f>VLOOKUP($B8,Unidades!$D$5:$N$23,10,FALSE())</f>
        <v>NÃO</v>
      </c>
      <c r="K8" s="50" t="str">
        <f>VLOOKUP($B8,Unidades!$D$5:$N$23,11,FALSE())</f>
        <v>SIM</v>
      </c>
      <c r="L8" s="50">
        <f t="shared" si="3"/>
        <v>2.2000000000000002</v>
      </c>
      <c r="M8" s="50">
        <f t="shared" si="4"/>
        <v>6.2</v>
      </c>
      <c r="N8" s="50">
        <f t="shared" si="5"/>
        <v>44.2</v>
      </c>
      <c r="O8" s="51">
        <f t="shared" ref="O8:O25" si="19">IF(K8="não", N8*(C$29+D$29),N8*(C$29+D$29)+(M8*+E$29))</f>
        <v>2182.9700000000003</v>
      </c>
      <c r="P8" s="32"/>
      <c r="Q8" s="53" t="str">
        <f t="shared" si="6"/>
        <v>APS Frederico Westphalen</v>
      </c>
      <c r="R8" s="6">
        <f t="shared" ref="R8:R25" si="20">H8*($C$29+$D$29)</f>
        <v>90.240000000000009</v>
      </c>
      <c r="S8" s="6">
        <f t="shared" ref="S8:S25" si="21">I8*($C$29+$D$29)</f>
        <v>108.28800000000001</v>
      </c>
      <c r="T8" s="6">
        <f t="shared" ref="T8:T25" si="22">L8*($C$29+$D$29)</f>
        <v>99.264000000000024</v>
      </c>
      <c r="U8" s="6">
        <f t="shared" ref="U8:U25" si="23">IF(K8="não",M8*($C$29+$D$29),M8*(C$29+D$29+E$29))</f>
        <v>468.41000000000008</v>
      </c>
      <c r="V8" s="6">
        <f>VLOOKUP(Q8,'Desl. Base Ijuí'!$C$5:$S$23,13,FALSE())*($C$29+$D$29+$E$29*(VLOOKUP(Q8,'Desl. Base Ijuí'!$C$5:$S$23,17,FALSE())/12))</f>
        <v>118.74245138888891</v>
      </c>
      <c r="W8" s="6">
        <f>VLOOKUP(Q8,'Desl. Base Ijuí'!$C$5:$S$23,15,FALSE())*(2+(VLOOKUP(Q8,'Desl. Base Ijuí'!$C$5:$S$23,17,FALSE())/12))</f>
        <v>0</v>
      </c>
      <c r="X8" s="6">
        <f>VLOOKUP(Q8,'Desl. Base Ijuí'!$C$5:$Q$23,14,FALSE())</f>
        <v>0</v>
      </c>
      <c r="Y8" s="6">
        <f>VLOOKUP(Q8,'Desl. Base Ijuí'!$C$5:$Q$23,13,FALSE())*'Desl. Base Ijuí'!$E$28+'Desl. Base Ijuí'!$E$29*N8/12</f>
        <v>151.55291666666668</v>
      </c>
      <c r="Z8" s="6">
        <f>(H8/$AC$5)*'Equipe Técnica'!$C$13</f>
        <v>376.98670306102559</v>
      </c>
      <c r="AA8" s="6">
        <f>(I8/$AC$5)*'Equipe Técnica'!$C$13</f>
        <v>452.38404367323062</v>
      </c>
      <c r="AB8" s="6">
        <f>(L8/$AC$5)*'Equipe Técnica'!$C$13</f>
        <v>414.68537336712814</v>
      </c>
      <c r="AC8" s="6">
        <f>(M8/$AC$5)*'Equipe Técnica'!$C$13</f>
        <v>1168.6587794891793</v>
      </c>
      <c r="AD8" s="6">
        <f t="shared" si="7"/>
        <v>637.93956709611325</v>
      </c>
      <c r="AE8" s="6">
        <f t="shared" si="8"/>
        <v>731.38490770831834</v>
      </c>
      <c r="AF8" s="6">
        <f t="shared" si="9"/>
        <v>684.66223740221585</v>
      </c>
      <c r="AG8" s="6">
        <f t="shared" si="10"/>
        <v>1807.7816435242671</v>
      </c>
      <c r="AI8" s="53" t="str">
        <f t="shared" si="11"/>
        <v>APS Frederico Westphalen</v>
      </c>
      <c r="AJ8" s="63">
        <f>VLOOKUP(AI8,Unidades!D$5:H$23,5,)</f>
        <v>0.28349999999999997</v>
      </c>
      <c r="AK8" s="61">
        <f t="shared" ref="AK8:AK25" si="24">AD8*(1+$AJ8)</f>
        <v>818.79543436786139</v>
      </c>
      <c r="AL8" s="61">
        <f t="shared" ref="AL8:AL25" si="25">AE8*(1+$AJ8)</f>
        <v>938.73252904362664</v>
      </c>
      <c r="AM8" s="61">
        <f t="shared" ref="AM8:AM25" si="26">AF8*(1+$AJ8)</f>
        <v>878.76398170574407</v>
      </c>
      <c r="AN8" s="61">
        <f t="shared" ref="AN8:AN25" si="27">AG8*(1+$AJ8)</f>
        <v>2320.287739463397</v>
      </c>
      <c r="AO8" s="61">
        <f t="shared" ref="AO8:AO25" si="28">((AK8*12)+(AL8*4)+(AM8*2)+AN8)/12</f>
        <v>1471.5242526219774</v>
      </c>
      <c r="AP8" s="61">
        <f t="shared" ref="AP8:AP25" si="29">AO8*3</f>
        <v>4414.5727578659325</v>
      </c>
      <c r="AQ8" s="61">
        <f t="shared" ref="AQ8:AQ25" si="30">AO8+AP8</f>
        <v>5886.0970104879098</v>
      </c>
      <c r="AR8" s="65"/>
      <c r="AS8" s="66" t="s">
        <v>80</v>
      </c>
      <c r="AT8" s="61">
        <f>AT7*12</f>
        <v>166647.8643333042</v>
      </c>
      <c r="AU8" s="61">
        <f>AU7*4</f>
        <v>63655.76485455082</v>
      </c>
      <c r="AV8" s="61">
        <f>AV7*2</f>
        <v>34639.115415588138</v>
      </c>
      <c r="AW8" s="61">
        <f>AW7</f>
        <v>43637.405643049497</v>
      </c>
    </row>
    <row r="9" spans="2:49" s="5" customFormat="1" ht="15" customHeight="1">
      <c r="B9" s="48" t="s">
        <v>81</v>
      </c>
      <c r="C9" s="49">
        <f>VLOOKUP($B9,Unidades!$D$5:$N$23,6,FALSE())</f>
        <v>934.97</v>
      </c>
      <c r="D9" s="49">
        <f>VLOOKUP($B9,Unidades!$D$5:$N$23,7,FALSE())</f>
        <v>479.45</v>
      </c>
      <c r="E9" s="49">
        <f>VLOOKUP($B9,Unidades!$D$5:$N$23,8,FALSE())</f>
        <v>44.68</v>
      </c>
      <c r="F9" s="49">
        <f>VLOOKUP($B9,Unidades!$D$5:$N$23,9,FALSE())</f>
        <v>410.84</v>
      </c>
      <c r="G9" s="49">
        <f t="shared" si="0"/>
        <v>536.17200000000003</v>
      </c>
      <c r="H9" s="50">
        <f t="shared" si="1"/>
        <v>1.5</v>
      </c>
      <c r="I9" s="50">
        <f t="shared" si="2"/>
        <v>1.7999999999999998</v>
      </c>
      <c r="J9" s="50" t="str">
        <f>VLOOKUP($B9,Unidades!$D$5:$N$23,10,FALSE())</f>
        <v>NÃO</v>
      </c>
      <c r="K9" s="50" t="str">
        <f>VLOOKUP($B9,Unidades!$D$5:$N$23,11,FALSE())</f>
        <v>SIM</v>
      </c>
      <c r="L9" s="50">
        <f t="shared" si="3"/>
        <v>1.6500000000000001</v>
      </c>
      <c r="M9" s="50">
        <f t="shared" si="4"/>
        <v>5.65</v>
      </c>
      <c r="N9" s="50">
        <f t="shared" si="5"/>
        <v>34.15</v>
      </c>
      <c r="O9" s="51">
        <f t="shared" si="19"/>
        <v>1712.7775000000001</v>
      </c>
      <c r="P9" s="32"/>
      <c r="Q9" s="53" t="str">
        <f t="shared" si="6"/>
        <v>APS Giruá</v>
      </c>
      <c r="R9" s="6">
        <f t="shared" si="20"/>
        <v>67.680000000000007</v>
      </c>
      <c r="S9" s="6">
        <f t="shared" si="21"/>
        <v>81.215999999999994</v>
      </c>
      <c r="T9" s="6">
        <f t="shared" si="22"/>
        <v>74.448000000000008</v>
      </c>
      <c r="U9" s="6">
        <f t="shared" si="23"/>
        <v>426.85750000000007</v>
      </c>
      <c r="V9" s="6">
        <f>VLOOKUP(Q9,'Desl. Base Ijuí'!$C$5:$S$23,13,FALSE())*($C$29+$D$29+$E$29*(VLOOKUP(Q9,'Desl. Base Ijuí'!$C$5:$S$23,17,FALSE())/12))</f>
        <v>63.143979166666675</v>
      </c>
      <c r="W9" s="6">
        <f>VLOOKUP(Q9,'Desl. Base Ijuí'!$C$5:$S$23,15,FALSE())*(2+(VLOOKUP(Q9,'Desl. Base Ijuí'!$C$5:$S$23,17,FALSE())/12))</f>
        <v>0</v>
      </c>
      <c r="X9" s="6">
        <f>VLOOKUP(Q9,'Desl. Base Ijuí'!$C$5:$Q$23,14,FALSE())</f>
        <v>0</v>
      </c>
      <c r="Y9" s="6">
        <f>VLOOKUP(Q9,'Desl. Base Ijuí'!$C$5:$Q$23,13,FALSE())*'Desl. Base Ijuí'!$E$28+'Desl. Base Ijuí'!$E$29*N9/12</f>
        <v>86.75729166666666</v>
      </c>
      <c r="Z9" s="6">
        <f>(H9/$AC$5)*'Equipe Técnica'!$C$13</f>
        <v>282.74002729576915</v>
      </c>
      <c r="AA9" s="6">
        <f>(I9/$AC$5)*'Equipe Técnica'!$C$13</f>
        <v>339.28803275492299</v>
      </c>
      <c r="AB9" s="6">
        <f>(L9/$AC$5)*'Equipe Técnica'!$C$13</f>
        <v>311.01403002534613</v>
      </c>
      <c r="AC9" s="6">
        <f>(M9/$AC$5)*'Equipe Técnica'!$C$13</f>
        <v>1064.9874361473974</v>
      </c>
      <c r="AD9" s="6">
        <f t="shared" si="7"/>
        <v>445.0945141378744</v>
      </c>
      <c r="AE9" s="6">
        <f t="shared" si="8"/>
        <v>515.1785195970283</v>
      </c>
      <c r="AF9" s="6">
        <f t="shared" si="9"/>
        <v>480.13651686745141</v>
      </c>
      <c r="AG9" s="6">
        <f t="shared" si="10"/>
        <v>1586.5194229895028</v>
      </c>
      <c r="AI9" s="53" t="str">
        <f t="shared" si="11"/>
        <v>APS Giruá</v>
      </c>
      <c r="AJ9" s="63">
        <f>VLOOKUP(AI9,Unidades!D$5:H$23,5,)</f>
        <v>0.28349999999999997</v>
      </c>
      <c r="AK9" s="61">
        <f t="shared" si="24"/>
        <v>571.27880889596179</v>
      </c>
      <c r="AL9" s="61">
        <f t="shared" si="25"/>
        <v>661.23162990278581</v>
      </c>
      <c r="AM9" s="61">
        <f t="shared" si="26"/>
        <v>616.25521939937391</v>
      </c>
      <c r="AN9" s="61">
        <f t="shared" si="27"/>
        <v>2036.2976794070271</v>
      </c>
      <c r="AO9" s="61">
        <f t="shared" si="28"/>
        <v>1064.0900287140382</v>
      </c>
      <c r="AP9" s="61">
        <f t="shared" si="29"/>
        <v>3192.2700861421145</v>
      </c>
      <c r="AQ9" s="61">
        <f t="shared" si="30"/>
        <v>4256.3601148561529</v>
      </c>
      <c r="AR9" s="65"/>
      <c r="AS9" s="65"/>
      <c r="AT9" s="64"/>
      <c r="AU9" s="64"/>
      <c r="AV9" s="64"/>
      <c r="AW9" s="64"/>
    </row>
    <row r="10" spans="2:49" s="5" customFormat="1" ht="15" customHeight="1">
      <c r="B10" s="48" t="s">
        <v>82</v>
      </c>
      <c r="C10" s="49">
        <f>VLOOKUP($B10,Unidades!$D$5:$N$23,6,FALSE())</f>
        <v>934.97</v>
      </c>
      <c r="D10" s="49">
        <f>VLOOKUP($B10,Unidades!$D$5:$N$23,7,FALSE())</f>
        <v>476.57</v>
      </c>
      <c r="E10" s="49">
        <f>VLOOKUP($B10,Unidades!$D$5:$N$23,8,FALSE())</f>
        <v>51.08</v>
      </c>
      <c r="F10" s="49">
        <f>VLOOKUP($B10,Unidades!$D$5:$N$23,9,FALSE())</f>
        <v>407.32</v>
      </c>
      <c r="G10" s="49">
        <f t="shared" si="0"/>
        <v>535.17999999999995</v>
      </c>
      <c r="H10" s="50">
        <f t="shared" si="1"/>
        <v>1.5</v>
      </c>
      <c r="I10" s="50">
        <f t="shared" si="2"/>
        <v>1.7999999999999998</v>
      </c>
      <c r="J10" s="50" t="str">
        <f>VLOOKUP($B10,Unidades!$D$5:$N$23,10,FALSE())</f>
        <v>NÃO</v>
      </c>
      <c r="K10" s="50" t="str">
        <f>VLOOKUP($B10,Unidades!$D$5:$N$23,11,FALSE())</f>
        <v>SIM</v>
      </c>
      <c r="L10" s="50">
        <f t="shared" si="3"/>
        <v>1.6500000000000001</v>
      </c>
      <c r="M10" s="50">
        <f t="shared" si="4"/>
        <v>5.65</v>
      </c>
      <c r="N10" s="50">
        <f t="shared" si="5"/>
        <v>34.15</v>
      </c>
      <c r="O10" s="51">
        <f t="shared" si="19"/>
        <v>1712.7775000000001</v>
      </c>
      <c r="P10" s="32"/>
      <c r="Q10" s="53" t="str">
        <f t="shared" si="6"/>
        <v>APS Horizontina</v>
      </c>
      <c r="R10" s="6">
        <f t="shared" si="20"/>
        <v>67.680000000000007</v>
      </c>
      <c r="S10" s="6">
        <f t="shared" si="21"/>
        <v>81.215999999999994</v>
      </c>
      <c r="T10" s="6">
        <f t="shared" si="22"/>
        <v>74.448000000000008</v>
      </c>
      <c r="U10" s="6">
        <f t="shared" si="23"/>
        <v>426.85750000000007</v>
      </c>
      <c r="V10" s="6">
        <f>VLOOKUP(Q10,'Desl. Base Ijuí'!$C$5:$S$23,13,FALSE())*($C$29+$D$29+$E$29*(VLOOKUP(Q10,'Desl. Base Ijuí'!$C$5:$S$23,17,FALSE())/12))</f>
        <v>68.703826388888899</v>
      </c>
      <c r="W10" s="6">
        <f>VLOOKUP(Q10,'Desl. Base Ijuí'!$C$5:$S$23,15,FALSE())*(2+(VLOOKUP(Q10,'Desl. Base Ijuí'!$C$5:$S$23,17,FALSE())/12))</f>
        <v>0</v>
      </c>
      <c r="X10" s="6">
        <f>VLOOKUP(Q10,'Desl. Base Ijuí'!$C$5:$Q$23,14,FALSE())</f>
        <v>0</v>
      </c>
      <c r="Y10" s="6">
        <f>VLOOKUP(Q10,'Desl. Base Ijuí'!$C$5:$Q$23,13,FALSE())*'Desl. Base Ijuí'!$E$28+'Desl. Base Ijuí'!$E$29*N10/12</f>
        <v>92.654791666666668</v>
      </c>
      <c r="Z10" s="6">
        <f>(H10/$AC$5)*'Equipe Técnica'!$C$13</f>
        <v>282.74002729576915</v>
      </c>
      <c r="AA10" s="6">
        <f>(I10/$AC$5)*'Equipe Técnica'!$C$13</f>
        <v>339.28803275492299</v>
      </c>
      <c r="AB10" s="6">
        <f>(L10/$AC$5)*'Equipe Técnica'!$C$13</f>
        <v>311.01403002534613</v>
      </c>
      <c r="AC10" s="6">
        <f>(M10/$AC$5)*'Equipe Técnica'!$C$13</f>
        <v>1064.9874361473974</v>
      </c>
      <c r="AD10" s="6">
        <f t="shared" si="7"/>
        <v>452.33073343612006</v>
      </c>
      <c r="AE10" s="6">
        <f t="shared" si="8"/>
        <v>522.4147388952739</v>
      </c>
      <c r="AF10" s="6">
        <f t="shared" si="9"/>
        <v>487.37273616569701</v>
      </c>
      <c r="AG10" s="6">
        <f t="shared" si="10"/>
        <v>1593.7556422877483</v>
      </c>
      <c r="AI10" s="53" t="str">
        <f t="shared" si="11"/>
        <v>APS Horizontina</v>
      </c>
      <c r="AJ10" s="63">
        <f>VLOOKUP(AI10,Unidades!D$5:H$23,5,)</f>
        <v>0.28349999999999997</v>
      </c>
      <c r="AK10" s="61">
        <f t="shared" si="24"/>
        <v>580.56649636526015</v>
      </c>
      <c r="AL10" s="61">
        <f t="shared" si="25"/>
        <v>670.51931737208406</v>
      </c>
      <c r="AM10" s="61">
        <f t="shared" si="26"/>
        <v>625.54290686867216</v>
      </c>
      <c r="AN10" s="61">
        <f t="shared" si="27"/>
        <v>2045.585366876325</v>
      </c>
      <c r="AO10" s="61">
        <f t="shared" si="28"/>
        <v>1078.7955338737606</v>
      </c>
      <c r="AP10" s="61">
        <f t="shared" si="29"/>
        <v>3236.3866016212819</v>
      </c>
      <c r="AQ10" s="61">
        <f t="shared" si="30"/>
        <v>4315.1821354950425</v>
      </c>
      <c r="AR10" s="65"/>
      <c r="AS10" s="87" t="s">
        <v>68</v>
      </c>
      <c r="AT10" s="223">
        <f>(SUM(AT8:AW8))/12</f>
        <v>25715.012520541059</v>
      </c>
      <c r="AU10" s="223"/>
      <c r="AV10" s="64"/>
      <c r="AW10" s="64"/>
    </row>
    <row r="11" spans="2:49" s="5" customFormat="1" ht="15" customHeight="1">
      <c r="B11" s="48" t="s">
        <v>83</v>
      </c>
      <c r="C11" s="49">
        <f>VLOOKUP($B11,Unidades!$D$5:$N$23,6,FALSE())</f>
        <v>1922.14</v>
      </c>
      <c r="D11" s="49">
        <f>VLOOKUP($B11,Unidades!$D$5:$N$23,7,FALSE())</f>
        <v>598.09</v>
      </c>
      <c r="E11" s="49">
        <f>VLOOKUP($B11,Unidades!$D$5:$N$23,8,FALSE())</f>
        <v>264.31</v>
      </c>
      <c r="F11" s="49">
        <f>VLOOKUP($B11,Unidades!$D$5:$N$23,9,FALSE())</f>
        <v>1059.74</v>
      </c>
      <c r="G11" s="49">
        <f t="shared" si="0"/>
        <v>796.5725000000001</v>
      </c>
      <c r="H11" s="50">
        <f t="shared" si="1"/>
        <v>2</v>
      </c>
      <c r="I11" s="50">
        <f t="shared" si="2"/>
        <v>2.4</v>
      </c>
      <c r="J11" s="50" t="str">
        <f>VLOOKUP($B11,Unidades!$D$5:$N$23,10,FALSE())</f>
        <v>SIM</v>
      </c>
      <c r="K11" s="50" t="str">
        <f>VLOOKUP($B11,Unidades!$D$5:$N$23,11,FALSE())</f>
        <v>SIM</v>
      </c>
      <c r="L11" s="50">
        <f t="shared" si="3"/>
        <v>4.2</v>
      </c>
      <c r="M11" s="50">
        <f t="shared" si="4"/>
        <v>8.1999999999999993</v>
      </c>
      <c r="N11" s="50">
        <f t="shared" si="5"/>
        <v>50.2</v>
      </c>
      <c r="O11" s="51">
        <f t="shared" si="19"/>
        <v>2514.5500000000002</v>
      </c>
      <c r="P11" s="32"/>
      <c r="Q11" s="53" t="str">
        <f t="shared" si="6"/>
        <v>APS Palmeira Das Missões</v>
      </c>
      <c r="R11" s="6">
        <f t="shared" si="20"/>
        <v>90.240000000000009</v>
      </c>
      <c r="S11" s="6">
        <f t="shared" si="21"/>
        <v>108.28800000000001</v>
      </c>
      <c r="T11" s="6">
        <f t="shared" si="22"/>
        <v>189.50400000000002</v>
      </c>
      <c r="U11" s="6">
        <f t="shared" si="23"/>
        <v>619.51</v>
      </c>
      <c r="V11" s="6">
        <f>VLOOKUP(Q11,'Desl. Base Ijuí'!$C$5:$S$23,13,FALSE())*($C$29+$D$29+$E$29*(VLOOKUP(Q11,'Desl. Base Ijuí'!$C$5:$S$23,17,FALSE())/12))</f>
        <v>118.74245138888891</v>
      </c>
      <c r="W11" s="6">
        <f>VLOOKUP(Q11,'Desl. Base Ijuí'!$C$5:$S$23,15,FALSE())*(2+(VLOOKUP(Q11,'Desl. Base Ijuí'!$C$5:$S$23,17,FALSE())/12))</f>
        <v>0</v>
      </c>
      <c r="X11" s="6">
        <f>VLOOKUP(Q11,'Desl. Base Ijuí'!$C$5:$Q$23,14,FALSE())</f>
        <v>0</v>
      </c>
      <c r="Y11" s="6">
        <f>VLOOKUP(Q11,'Desl. Base Ijuí'!$C$5:$Q$23,13,FALSE())*'Desl. Base Ijuí'!$E$28+'Desl. Base Ijuí'!$E$29*N11/12</f>
        <v>155.02791666666667</v>
      </c>
      <c r="Z11" s="6">
        <f>(H11/$AC$5)*'Equipe Técnica'!$C$13</f>
        <v>376.98670306102559</v>
      </c>
      <c r="AA11" s="6">
        <f>(I11/$AC$5)*'Equipe Técnica'!$C$13</f>
        <v>452.38404367323062</v>
      </c>
      <c r="AB11" s="6">
        <f>(L11/$AC$5)*'Equipe Técnica'!$C$13</f>
        <v>791.67207642815367</v>
      </c>
      <c r="AC11" s="6">
        <f>(M11/$AC$5)*'Equipe Técnica'!$C$13</f>
        <v>1545.6454825502046</v>
      </c>
      <c r="AD11" s="6">
        <f t="shared" si="7"/>
        <v>640.13430393821864</v>
      </c>
      <c r="AE11" s="6">
        <f t="shared" si="8"/>
        <v>733.57964455042361</v>
      </c>
      <c r="AF11" s="6">
        <f t="shared" si="9"/>
        <v>1154.0836773053466</v>
      </c>
      <c r="AG11" s="6">
        <f t="shared" si="10"/>
        <v>2338.0630834273975</v>
      </c>
      <c r="AI11" s="53" t="str">
        <f t="shared" si="11"/>
        <v>APS Palmeira Das Missões</v>
      </c>
      <c r="AJ11" s="63">
        <f>VLOOKUP(AI11,Unidades!D$5:H$23,5,)</f>
        <v>0.2979</v>
      </c>
      <c r="AK11" s="61">
        <f t="shared" si="24"/>
        <v>830.83031308141403</v>
      </c>
      <c r="AL11" s="61">
        <f t="shared" si="25"/>
        <v>952.11302066199482</v>
      </c>
      <c r="AM11" s="61">
        <f t="shared" si="26"/>
        <v>1497.8852047746093</v>
      </c>
      <c r="AN11" s="61">
        <f t="shared" si="27"/>
        <v>3034.5720759804194</v>
      </c>
      <c r="AO11" s="61">
        <f t="shared" si="28"/>
        <v>1650.729860429549</v>
      </c>
      <c r="AP11" s="61">
        <f t="shared" si="29"/>
        <v>4952.1895812886469</v>
      </c>
      <c r="AQ11" s="61">
        <f t="shared" si="30"/>
        <v>6602.9194417181961</v>
      </c>
      <c r="AR11" s="65"/>
      <c r="AS11" s="87" t="s">
        <v>84</v>
      </c>
      <c r="AT11" s="223">
        <f>AT10*12</f>
        <v>308580.1502464927</v>
      </c>
      <c r="AU11" s="223"/>
      <c r="AV11" s="64"/>
      <c r="AW11" s="64"/>
    </row>
    <row r="12" spans="2:49" s="5" customFormat="1" ht="15" customHeight="1">
      <c r="B12" s="48" t="s">
        <v>85</v>
      </c>
      <c r="C12" s="49">
        <f>VLOOKUP($B12,Unidades!$D$5:$N$23,6,FALSE())</f>
        <v>766.68</v>
      </c>
      <c r="D12" s="49">
        <f>VLOOKUP($B12,Unidades!$D$5:$N$23,7,FALSE())</f>
        <v>444.17</v>
      </c>
      <c r="E12" s="49">
        <f>VLOOKUP($B12,Unidades!$D$5:$N$23,8,FALSE())</f>
        <v>322.51</v>
      </c>
      <c r="F12" s="49">
        <f>VLOOKUP($B12,Unidades!$D$5:$N$23,9,FALSE())</f>
        <v>0</v>
      </c>
      <c r="G12" s="49">
        <f t="shared" si="0"/>
        <v>557.04849999999999</v>
      </c>
      <c r="H12" s="50">
        <f t="shared" si="1"/>
        <v>1.5</v>
      </c>
      <c r="I12" s="50">
        <f t="shared" si="2"/>
        <v>1.7999999999999998</v>
      </c>
      <c r="J12" s="50" t="str">
        <f>VLOOKUP($B12,Unidades!$D$5:$N$23,10,FALSE())</f>
        <v>NÃO</v>
      </c>
      <c r="K12" s="50" t="str">
        <f>VLOOKUP($B12,Unidades!$D$5:$N$23,11,FALSE())</f>
        <v>SIM</v>
      </c>
      <c r="L12" s="50">
        <f t="shared" si="3"/>
        <v>1.6500000000000001</v>
      </c>
      <c r="M12" s="50">
        <f t="shared" si="4"/>
        <v>5.65</v>
      </c>
      <c r="N12" s="50">
        <f t="shared" si="5"/>
        <v>34.15</v>
      </c>
      <c r="O12" s="51">
        <f t="shared" si="19"/>
        <v>1712.7775000000001</v>
      </c>
      <c r="P12" s="32"/>
      <c r="Q12" s="53" t="str">
        <f t="shared" si="6"/>
        <v>APS Panambi</v>
      </c>
      <c r="R12" s="6">
        <f t="shared" si="20"/>
        <v>67.680000000000007</v>
      </c>
      <c r="S12" s="6">
        <f t="shared" si="21"/>
        <v>81.215999999999994</v>
      </c>
      <c r="T12" s="6">
        <f t="shared" si="22"/>
        <v>74.448000000000008</v>
      </c>
      <c r="U12" s="6">
        <f t="shared" si="23"/>
        <v>426.85750000000007</v>
      </c>
      <c r="V12" s="6">
        <f>VLOOKUP(Q12,'Desl. Base Ijuí'!$C$5:$S$23,13,FALSE())*($C$29+$D$29+$E$29*(VLOOKUP(Q12,'Desl. Base Ijuí'!$C$5:$S$23,17,FALSE())/12))</f>
        <v>78.632125000000002</v>
      </c>
      <c r="W12" s="6">
        <f>VLOOKUP(Q12,'Desl. Base Ijuí'!$C$5:$S$23,15,FALSE())*(2+(VLOOKUP(Q12,'Desl. Base Ijuí'!$C$5:$S$23,17,FALSE())/12))</f>
        <v>0</v>
      </c>
      <c r="X12" s="6">
        <f>VLOOKUP(Q12,'Desl. Base Ijuí'!$C$5:$Q$23,14,FALSE())</f>
        <v>0</v>
      </c>
      <c r="Y12" s="6">
        <f>VLOOKUP(Q12,'Desl. Base Ijuí'!$C$5:$Q$23,13,FALSE())*'Desl. Base Ijuí'!$E$28+'Desl. Base Ijuí'!$E$29*N12/12</f>
        <v>103.18604166666665</v>
      </c>
      <c r="Z12" s="6">
        <f>(H12/$AC$5)*'Equipe Técnica'!$C$13</f>
        <v>282.74002729576915</v>
      </c>
      <c r="AA12" s="6">
        <f>(I12/$AC$5)*'Equipe Técnica'!$C$13</f>
        <v>339.28803275492299</v>
      </c>
      <c r="AB12" s="6">
        <f>(L12/$AC$5)*'Equipe Técnica'!$C$13</f>
        <v>311.01403002534613</v>
      </c>
      <c r="AC12" s="6">
        <f>(M12/$AC$5)*'Equipe Técnica'!$C$13</f>
        <v>1064.9874361473974</v>
      </c>
      <c r="AD12" s="6">
        <f t="shared" si="7"/>
        <v>465.2525536115586</v>
      </c>
      <c r="AE12" s="6">
        <f t="shared" si="8"/>
        <v>535.33655907071238</v>
      </c>
      <c r="AF12" s="6">
        <f t="shared" si="9"/>
        <v>500.2945563411356</v>
      </c>
      <c r="AG12" s="6">
        <f t="shared" si="10"/>
        <v>1606.6774624631869</v>
      </c>
      <c r="AI12" s="53" t="str">
        <f t="shared" si="11"/>
        <v>APS Panambi</v>
      </c>
      <c r="AJ12" s="63">
        <f>VLOOKUP(AI12,Unidades!D$5:H$23,5,)</f>
        <v>0.28349999999999997</v>
      </c>
      <c r="AK12" s="61">
        <f t="shared" si="24"/>
        <v>597.15165256043554</v>
      </c>
      <c r="AL12" s="61">
        <f t="shared" si="25"/>
        <v>687.10447356725933</v>
      </c>
      <c r="AM12" s="61">
        <f t="shared" si="26"/>
        <v>642.12806306384755</v>
      </c>
      <c r="AN12" s="61">
        <f t="shared" si="27"/>
        <v>2062.1705230715006</v>
      </c>
      <c r="AO12" s="61">
        <f t="shared" si="28"/>
        <v>1105.0553645161217</v>
      </c>
      <c r="AP12" s="61">
        <f t="shared" si="29"/>
        <v>3315.1660935483651</v>
      </c>
      <c r="AQ12" s="61">
        <f t="shared" si="30"/>
        <v>4420.2214580644868</v>
      </c>
      <c r="AR12" s="65"/>
      <c r="AS12" s="87" t="s">
        <v>69</v>
      </c>
      <c r="AT12" s="223">
        <f>AT10*3</f>
        <v>77145.037561623176</v>
      </c>
      <c r="AU12" s="223"/>
      <c r="AV12" s="65"/>
      <c r="AW12" s="65"/>
    </row>
    <row r="13" spans="2:49" s="5" customFormat="1" ht="15" customHeight="1">
      <c r="B13" s="48" t="s">
        <v>86</v>
      </c>
      <c r="C13" s="49">
        <f>VLOOKUP($B13,Unidades!$D$5:$N$23,6,FALSE())</f>
        <v>542.08000000000004</v>
      </c>
      <c r="D13" s="49">
        <f>VLOOKUP($B13,Unidades!$D$5:$N$23,7,FALSE())</f>
        <v>491</v>
      </c>
      <c r="E13" s="49">
        <f>VLOOKUP($B13,Unidades!$D$5:$N$23,8,FALSE())</f>
        <v>51.08</v>
      </c>
      <c r="F13" s="49">
        <f>VLOOKUP($B13,Unidades!$D$5:$N$23,9,FALSE())</f>
        <v>0</v>
      </c>
      <c r="G13" s="49">
        <f t="shared" si="0"/>
        <v>508.87799999999999</v>
      </c>
      <c r="H13" s="50">
        <f t="shared" si="1"/>
        <v>1.5</v>
      </c>
      <c r="I13" s="50">
        <f t="shared" si="2"/>
        <v>1.7999999999999998</v>
      </c>
      <c r="J13" s="50" t="str">
        <f>VLOOKUP($B13,Unidades!$D$5:$N$23,10,FALSE())</f>
        <v>NÃO</v>
      </c>
      <c r="K13" s="50" t="str">
        <f>VLOOKUP($B13,Unidades!$D$5:$N$23,11,FALSE())</f>
        <v>SIM</v>
      </c>
      <c r="L13" s="50">
        <f t="shared" si="3"/>
        <v>1.6500000000000001</v>
      </c>
      <c r="M13" s="50">
        <f t="shared" si="4"/>
        <v>5.65</v>
      </c>
      <c r="N13" s="50">
        <f t="shared" si="5"/>
        <v>34.15</v>
      </c>
      <c r="O13" s="51">
        <f t="shared" si="19"/>
        <v>1712.7775000000001</v>
      </c>
      <c r="P13" s="32"/>
      <c r="Q13" s="53" t="str">
        <f t="shared" si="6"/>
        <v>APS Porto Lucena</v>
      </c>
      <c r="R13" s="6">
        <f t="shared" si="20"/>
        <v>67.680000000000007</v>
      </c>
      <c r="S13" s="6">
        <f t="shared" si="21"/>
        <v>81.215999999999994</v>
      </c>
      <c r="T13" s="6">
        <f t="shared" si="22"/>
        <v>74.448000000000008</v>
      </c>
      <c r="U13" s="6">
        <f t="shared" si="23"/>
        <v>426.85750000000007</v>
      </c>
      <c r="V13" s="6">
        <f>VLOOKUP(Q13,'Desl. Base Ijuí'!$C$5:$S$23,13,FALSE())*($C$29+$D$29+$E$29*(VLOOKUP(Q13,'Desl. Base Ijuí'!$C$5:$S$23,17,FALSE())/12))</f>
        <v>113.97686805555557</v>
      </c>
      <c r="W13" s="6">
        <f>VLOOKUP(Q13,'Desl. Base Ijuí'!$C$5:$S$23,15,FALSE())*(2+(VLOOKUP(Q13,'Desl. Base Ijuí'!$C$5:$S$23,17,FALSE())/12))</f>
        <v>0</v>
      </c>
      <c r="X13" s="6">
        <f>VLOOKUP(Q13,'Desl. Base Ijuí'!$C$5:$Q$23,14,FALSE())</f>
        <v>0</v>
      </c>
      <c r="Y13" s="6">
        <f>VLOOKUP(Q13,'Desl. Base Ijuí'!$C$5:$Q$23,13,FALSE())*'Desl. Base Ijuí'!$E$28+'Desl. Base Ijuí'!$E$29*N13/12</f>
        <v>140.67729166666666</v>
      </c>
      <c r="Z13" s="6">
        <f>(H13/$AC$5)*'Equipe Técnica'!$C$13</f>
        <v>282.74002729576915</v>
      </c>
      <c r="AA13" s="6">
        <f>(I13/$AC$5)*'Equipe Técnica'!$C$13</f>
        <v>339.28803275492299</v>
      </c>
      <c r="AB13" s="6">
        <f>(L13/$AC$5)*'Equipe Técnica'!$C$13</f>
        <v>311.01403002534613</v>
      </c>
      <c r="AC13" s="6">
        <f>(M13/$AC$5)*'Equipe Técnica'!$C$13</f>
        <v>1064.9874361473974</v>
      </c>
      <c r="AD13" s="6">
        <f t="shared" si="7"/>
        <v>511.25423343612005</v>
      </c>
      <c r="AE13" s="6">
        <f t="shared" si="8"/>
        <v>581.33823889527389</v>
      </c>
      <c r="AF13" s="6">
        <f t="shared" si="9"/>
        <v>546.296236165697</v>
      </c>
      <c r="AG13" s="6">
        <f t="shared" si="10"/>
        <v>1652.6791422877484</v>
      </c>
      <c r="AI13" s="53" t="str">
        <f t="shared" si="11"/>
        <v>APS Porto Lucena</v>
      </c>
      <c r="AJ13" s="63">
        <f>VLOOKUP(AI13,Unidades!D$5:H$23,5,)</f>
        <v>0.28349999999999997</v>
      </c>
      <c r="AK13" s="61">
        <f t="shared" si="24"/>
        <v>656.19480861526017</v>
      </c>
      <c r="AL13" s="61">
        <f t="shared" si="25"/>
        <v>746.14762962208408</v>
      </c>
      <c r="AM13" s="61">
        <f t="shared" si="26"/>
        <v>701.17121911867218</v>
      </c>
      <c r="AN13" s="61">
        <f t="shared" si="27"/>
        <v>2121.2136791263251</v>
      </c>
      <c r="AO13" s="61">
        <f t="shared" si="28"/>
        <v>1198.5403616029273</v>
      </c>
      <c r="AP13" s="61">
        <f t="shared" si="29"/>
        <v>3595.6210848087821</v>
      </c>
      <c r="AQ13" s="61">
        <f t="shared" si="30"/>
        <v>4794.1614464117092</v>
      </c>
      <c r="AR13" s="65"/>
      <c r="AS13" s="87" t="s">
        <v>87</v>
      </c>
      <c r="AT13" s="223">
        <f>AT12*12</f>
        <v>925740.45073947811</v>
      </c>
      <c r="AU13" s="223"/>
      <c r="AV13" s="64"/>
      <c r="AW13" s="64"/>
    </row>
    <row r="14" spans="2:49" s="5" customFormat="1" ht="15" customHeight="1">
      <c r="B14" s="48" t="s">
        <v>88</v>
      </c>
      <c r="C14" s="49">
        <f>VLOOKUP($B14,Unidades!$D$5:$N$23,6,FALSE())</f>
        <v>2999.75</v>
      </c>
      <c r="D14" s="49">
        <f>VLOOKUP($B14,Unidades!$D$5:$N$23,7,FALSE())</f>
        <v>976.87</v>
      </c>
      <c r="E14" s="49">
        <f>VLOOKUP($B14,Unidades!$D$5:$N$23,8,FALSE())</f>
        <v>1046.01</v>
      </c>
      <c r="F14" s="49">
        <f>VLOOKUP($B14,Unidades!$D$5:$N$23,9,FALSE())</f>
        <v>976.87</v>
      </c>
      <c r="G14" s="49">
        <f t="shared" si="0"/>
        <v>1440.6605</v>
      </c>
      <c r="H14" s="50">
        <f t="shared" si="1"/>
        <v>2</v>
      </c>
      <c r="I14" s="50">
        <f t="shared" si="2"/>
        <v>2.4</v>
      </c>
      <c r="J14" s="50" t="str">
        <f>VLOOKUP($B14,Unidades!$D$5:$N$23,10,FALSE())</f>
        <v>NÃO</v>
      </c>
      <c r="K14" s="50" t="str">
        <f>VLOOKUP($B14,Unidades!$D$5:$N$23,11,FALSE())</f>
        <v>SIM</v>
      </c>
      <c r="L14" s="50">
        <f t="shared" si="3"/>
        <v>2.2000000000000002</v>
      </c>
      <c r="M14" s="50">
        <f t="shared" si="4"/>
        <v>6.2</v>
      </c>
      <c r="N14" s="50">
        <f t="shared" si="5"/>
        <v>44.2</v>
      </c>
      <c r="O14" s="51">
        <f t="shared" si="19"/>
        <v>2182.9700000000003</v>
      </c>
      <c r="P14" s="32"/>
      <c r="Q14" s="53" t="str">
        <f t="shared" si="6"/>
        <v>APS Santa Rosa</v>
      </c>
      <c r="R14" s="6">
        <f t="shared" si="20"/>
        <v>90.240000000000009</v>
      </c>
      <c r="S14" s="6">
        <f t="shared" si="21"/>
        <v>108.28800000000001</v>
      </c>
      <c r="T14" s="6">
        <f t="shared" si="22"/>
        <v>99.264000000000024</v>
      </c>
      <c r="U14" s="6">
        <f t="shared" si="23"/>
        <v>468.41000000000008</v>
      </c>
      <c r="V14" s="6">
        <f>VLOOKUP(Q14,'Desl. Base Ijuí'!$C$5:$S$23,13,FALSE())*($C$29+$D$29+$E$29*(VLOOKUP(Q14,'Desl. Base Ijuí'!$C$5:$S$23,17,FALSE())/12))</f>
        <v>113.97686805555557</v>
      </c>
      <c r="W14" s="6">
        <f>VLOOKUP(Q14,'Desl. Base Ijuí'!$C$5:$S$23,15,FALSE())*(2+(VLOOKUP(Q14,'Desl. Base Ijuí'!$C$5:$S$23,17,FALSE())/12))</f>
        <v>0</v>
      </c>
      <c r="X14" s="6">
        <f>VLOOKUP(Q14,'Desl. Base Ijuí'!$C$5:$Q$23,14,FALSE())</f>
        <v>0</v>
      </c>
      <c r="Y14" s="6">
        <f>VLOOKUP(Q14,'Desl. Base Ijuí'!$C$5:$Q$23,13,FALSE())*'Desl. Base Ijuí'!$E$28+'Desl. Base Ijuí'!$E$29*N14/12</f>
        <v>146.49791666666667</v>
      </c>
      <c r="Z14" s="6">
        <f>(H14/$AC$5)*'Equipe Técnica'!$C$13</f>
        <v>376.98670306102559</v>
      </c>
      <c r="AA14" s="6">
        <f>(I14/$AC$5)*'Equipe Técnica'!$C$13</f>
        <v>452.38404367323062</v>
      </c>
      <c r="AB14" s="6">
        <f>(L14/$AC$5)*'Equipe Técnica'!$C$13</f>
        <v>414.68537336712814</v>
      </c>
      <c r="AC14" s="6">
        <f>(M14/$AC$5)*'Equipe Técnica'!$C$13</f>
        <v>1168.6587794891793</v>
      </c>
      <c r="AD14" s="6">
        <f t="shared" si="7"/>
        <v>631.73709341190283</v>
      </c>
      <c r="AE14" s="6">
        <f t="shared" si="8"/>
        <v>725.18243402410781</v>
      </c>
      <c r="AF14" s="6">
        <f t="shared" si="9"/>
        <v>678.45976371800543</v>
      </c>
      <c r="AG14" s="6">
        <f t="shared" si="10"/>
        <v>1801.5791698400567</v>
      </c>
      <c r="AI14" s="53" t="str">
        <f t="shared" si="11"/>
        <v>APS Santa Rosa</v>
      </c>
      <c r="AJ14" s="63">
        <f>VLOOKUP(AI14,Unidades!D$5:H$23,5,)</f>
        <v>0.2979</v>
      </c>
      <c r="AK14" s="61">
        <f t="shared" si="24"/>
        <v>819.93157353930872</v>
      </c>
      <c r="AL14" s="61">
        <f t="shared" si="25"/>
        <v>941.21428111988951</v>
      </c>
      <c r="AM14" s="61">
        <f t="shared" si="26"/>
        <v>880.57292732959934</v>
      </c>
      <c r="AN14" s="61">
        <f t="shared" si="27"/>
        <v>2338.2696045354096</v>
      </c>
      <c r="AO14" s="61">
        <f t="shared" si="28"/>
        <v>1475.2876221788226</v>
      </c>
      <c r="AP14" s="61">
        <f t="shared" si="29"/>
        <v>4425.8628665364677</v>
      </c>
      <c r="AQ14" s="61">
        <f t="shared" si="30"/>
        <v>5901.1504887152905</v>
      </c>
      <c r="AR14" s="65"/>
      <c r="AS14" s="87" t="s">
        <v>89</v>
      </c>
      <c r="AT14" s="223">
        <f>AT10+AT12</f>
        <v>102860.05008216423</v>
      </c>
      <c r="AU14" s="223"/>
      <c r="AV14" s="64"/>
      <c r="AW14" s="64"/>
    </row>
    <row r="15" spans="2:49" s="5" customFormat="1" ht="15" customHeight="1">
      <c r="B15" s="48" t="s">
        <v>90</v>
      </c>
      <c r="C15" s="49">
        <f>VLOOKUP($B15,Unidades!$D$5:$N$23,6,FALSE())</f>
        <v>1830.96</v>
      </c>
      <c r="D15" s="49">
        <f>VLOOKUP($B15,Unidades!$D$5:$N$23,7,FALSE())</f>
        <v>722.14</v>
      </c>
      <c r="E15" s="49">
        <f>VLOOKUP($B15,Unidades!$D$5:$N$23,8,FALSE())</f>
        <v>187.52</v>
      </c>
      <c r="F15" s="49">
        <f>VLOOKUP($B15,Unidades!$D$5:$N$23,9,FALSE())</f>
        <v>921.3</v>
      </c>
      <c r="G15" s="49">
        <f t="shared" si="0"/>
        <v>879.90199999999993</v>
      </c>
      <c r="H15" s="50">
        <f t="shared" si="1"/>
        <v>2</v>
      </c>
      <c r="I15" s="50">
        <f t="shared" si="2"/>
        <v>2.4</v>
      </c>
      <c r="J15" s="50" t="str">
        <f>VLOOKUP($B15,Unidades!$D$5:$N$23,10,FALSE())</f>
        <v>SIM</v>
      </c>
      <c r="K15" s="50" t="str">
        <f>VLOOKUP($B15,Unidades!$D$5:$N$23,11,FALSE())</f>
        <v>SIM</v>
      </c>
      <c r="L15" s="50">
        <f t="shared" si="3"/>
        <v>4.2</v>
      </c>
      <c r="M15" s="50">
        <f t="shared" si="4"/>
        <v>8.1999999999999993</v>
      </c>
      <c r="N15" s="50">
        <f t="shared" si="5"/>
        <v>50.2</v>
      </c>
      <c r="O15" s="51">
        <f t="shared" si="19"/>
        <v>2514.5500000000002</v>
      </c>
      <c r="P15" s="32"/>
      <c r="Q15" s="53" t="str">
        <f t="shared" si="6"/>
        <v>APS São Luiz Gonzaga</v>
      </c>
      <c r="R15" s="6">
        <f t="shared" si="20"/>
        <v>90.240000000000009</v>
      </c>
      <c r="S15" s="6">
        <f t="shared" si="21"/>
        <v>108.28800000000001</v>
      </c>
      <c r="T15" s="6">
        <f t="shared" si="22"/>
        <v>189.50400000000002</v>
      </c>
      <c r="U15" s="6">
        <f t="shared" si="23"/>
        <v>619.51</v>
      </c>
      <c r="V15" s="6">
        <f>VLOOKUP(Q15,'Desl. Base Ijuí'!$C$5:$S$23,13,FALSE())*($C$29+$D$29+$E$29*(VLOOKUP(Q15,'Desl. Base Ijuí'!$C$5:$S$23,17,FALSE())/12))</f>
        <v>96.900194444444452</v>
      </c>
      <c r="W15" s="6">
        <f>VLOOKUP(Q15,'Desl. Base Ijuí'!$C$5:$S$23,15,FALSE())*(2+(VLOOKUP(Q15,'Desl. Base Ijuí'!$C$5:$S$23,17,FALSE())/12))</f>
        <v>0</v>
      </c>
      <c r="X15" s="6">
        <f>VLOOKUP(Q15,'Desl. Base Ijuí'!$C$5:$Q$23,14,FALSE())</f>
        <v>0</v>
      </c>
      <c r="Y15" s="6">
        <f>VLOOKUP(Q15,'Desl. Base Ijuí'!$C$5:$Q$23,13,FALSE())*'Desl. Base Ijuí'!$E$28+'Desl. Base Ijuí'!$E$29*N15/12</f>
        <v>131.85916666666665</v>
      </c>
      <c r="Z15" s="6">
        <f>(H15/$AC$5)*'Equipe Técnica'!$C$13</f>
        <v>376.98670306102559</v>
      </c>
      <c r="AA15" s="6">
        <f>(I15/$AC$5)*'Equipe Técnica'!$C$13</f>
        <v>452.38404367323062</v>
      </c>
      <c r="AB15" s="6">
        <f>(L15/$AC$5)*'Equipe Técnica'!$C$13</f>
        <v>791.67207642815367</v>
      </c>
      <c r="AC15" s="6">
        <f>(M15/$AC$5)*'Equipe Técnica'!$C$13</f>
        <v>1545.6454825502046</v>
      </c>
      <c r="AD15" s="6">
        <f t="shared" si="7"/>
        <v>611.70629955225365</v>
      </c>
      <c r="AE15" s="6">
        <f t="shared" si="8"/>
        <v>705.15164016445874</v>
      </c>
      <c r="AF15" s="6">
        <f t="shared" si="9"/>
        <v>1125.6556729193817</v>
      </c>
      <c r="AG15" s="6">
        <f t="shared" si="10"/>
        <v>2309.6350790414326</v>
      </c>
      <c r="AI15" s="53" t="str">
        <f t="shared" si="11"/>
        <v>APS São Luiz Gonzaga</v>
      </c>
      <c r="AJ15" s="63">
        <f>VLOOKUP(AI15,Unidades!D$5:H$23,5,)</f>
        <v>0.2979</v>
      </c>
      <c r="AK15" s="61">
        <f t="shared" si="24"/>
        <v>793.93360618887004</v>
      </c>
      <c r="AL15" s="61">
        <f t="shared" si="25"/>
        <v>915.21631376945106</v>
      </c>
      <c r="AM15" s="61">
        <f t="shared" si="26"/>
        <v>1460.9884978820655</v>
      </c>
      <c r="AN15" s="61">
        <f t="shared" si="27"/>
        <v>2997.6753690878754</v>
      </c>
      <c r="AO15" s="61">
        <f t="shared" si="28"/>
        <v>1592.3100745163545</v>
      </c>
      <c r="AP15" s="61">
        <f t="shared" si="29"/>
        <v>4776.9302235490632</v>
      </c>
      <c r="AQ15" s="61">
        <f t="shared" si="30"/>
        <v>6369.2402980654178</v>
      </c>
      <c r="AR15" s="65"/>
      <c r="AS15" s="87" t="s">
        <v>91</v>
      </c>
      <c r="AT15" s="223">
        <f>AT11+AT13</f>
        <v>1234320.6009859708</v>
      </c>
      <c r="AU15" s="223"/>
      <c r="AV15" s="65"/>
      <c r="AW15" s="65"/>
    </row>
    <row r="16" spans="2:49" s="5" customFormat="1" ht="15" customHeight="1">
      <c r="B16" s="48" t="s">
        <v>92</v>
      </c>
      <c r="C16" s="49">
        <f>VLOOKUP($B16,Unidades!$D$5:$N$23,6,FALSE())</f>
        <v>934.97</v>
      </c>
      <c r="D16" s="49">
        <f>VLOOKUP($B16,Unidades!$D$5:$N$23,7,FALSE())</f>
        <v>479.45</v>
      </c>
      <c r="E16" s="49">
        <f>VLOOKUP($B16,Unidades!$D$5:$N$23,8,FALSE())</f>
        <v>44.68</v>
      </c>
      <c r="F16" s="49">
        <f>VLOOKUP($B16,Unidades!$D$5:$N$23,9,FALSE())</f>
        <v>410.84</v>
      </c>
      <c r="G16" s="49">
        <f t="shared" si="0"/>
        <v>536.17200000000003</v>
      </c>
      <c r="H16" s="50">
        <f t="shared" si="1"/>
        <v>1.5</v>
      </c>
      <c r="I16" s="50">
        <f t="shared" si="2"/>
        <v>1.7999999999999998</v>
      </c>
      <c r="J16" s="50" t="str">
        <f>VLOOKUP($B16,Unidades!$D$5:$N$23,10,FALSE())</f>
        <v>NÃO</v>
      </c>
      <c r="K16" s="50" t="str">
        <f>VLOOKUP($B16,Unidades!$D$5:$N$23,11,FALSE())</f>
        <v>SIM</v>
      </c>
      <c r="L16" s="50">
        <f t="shared" si="3"/>
        <v>1.6500000000000001</v>
      </c>
      <c r="M16" s="50">
        <f t="shared" si="4"/>
        <v>5.65</v>
      </c>
      <c r="N16" s="50">
        <f t="shared" si="5"/>
        <v>34.15</v>
      </c>
      <c r="O16" s="51">
        <f t="shared" si="19"/>
        <v>1712.7775000000001</v>
      </c>
      <c r="P16" s="32"/>
      <c r="Q16" s="53" t="str">
        <f t="shared" si="6"/>
        <v>APS Três De Maio</v>
      </c>
      <c r="R16" s="6">
        <f t="shared" si="20"/>
        <v>67.680000000000007</v>
      </c>
      <c r="S16" s="6">
        <f t="shared" si="21"/>
        <v>81.215999999999994</v>
      </c>
      <c r="T16" s="6">
        <f t="shared" si="22"/>
        <v>74.448000000000008</v>
      </c>
      <c r="U16" s="6">
        <f t="shared" si="23"/>
        <v>426.85750000000007</v>
      </c>
      <c r="V16" s="6">
        <f>VLOOKUP(Q16,'Desl. Base Ijuí'!$C$5:$S$23,13,FALSE())*($C$29+$D$29+$E$29*(VLOOKUP(Q16,'Desl. Base Ijuí'!$C$5:$S$23,17,FALSE())/12))</f>
        <v>68.703826388888899</v>
      </c>
      <c r="W16" s="6">
        <f>VLOOKUP(Q16,'Desl. Base Ijuí'!$C$5:$S$23,15,FALSE())*(2+(VLOOKUP(Q16,'Desl. Base Ijuí'!$C$5:$S$23,17,FALSE())/12))</f>
        <v>0</v>
      </c>
      <c r="X16" s="6">
        <f>VLOOKUP(Q16,'Desl. Base Ijuí'!$C$5:$Q$23,14,FALSE())</f>
        <v>0</v>
      </c>
      <c r="Y16" s="6">
        <f>VLOOKUP(Q16,'Desl. Base Ijuí'!$C$5:$Q$23,13,FALSE())*'Desl. Base Ijuí'!$E$28+'Desl. Base Ijuí'!$E$29*N16/12</f>
        <v>92.654791666666668</v>
      </c>
      <c r="Z16" s="6">
        <f>(H16/$AC$5)*'Equipe Técnica'!$C$13</f>
        <v>282.74002729576915</v>
      </c>
      <c r="AA16" s="6">
        <f>(I16/$AC$5)*'Equipe Técnica'!$C$13</f>
        <v>339.28803275492299</v>
      </c>
      <c r="AB16" s="6">
        <f>(L16/$AC$5)*'Equipe Técnica'!$C$13</f>
        <v>311.01403002534613</v>
      </c>
      <c r="AC16" s="6">
        <f>(M16/$AC$5)*'Equipe Técnica'!$C$13</f>
        <v>1064.9874361473974</v>
      </c>
      <c r="AD16" s="6">
        <f t="shared" si="7"/>
        <v>452.33073343612006</v>
      </c>
      <c r="AE16" s="6">
        <f t="shared" si="8"/>
        <v>522.4147388952739</v>
      </c>
      <c r="AF16" s="6">
        <f t="shared" si="9"/>
        <v>487.37273616569701</v>
      </c>
      <c r="AG16" s="6">
        <f t="shared" si="10"/>
        <v>1593.7556422877483</v>
      </c>
      <c r="AI16" s="53" t="str">
        <f t="shared" si="11"/>
        <v>APS Três De Maio</v>
      </c>
      <c r="AJ16" s="63">
        <f>VLOOKUP(AI16,Unidades!D$5:H$23,5,)</f>
        <v>0.28349999999999997</v>
      </c>
      <c r="AK16" s="61">
        <f t="shared" si="24"/>
        <v>580.56649636526015</v>
      </c>
      <c r="AL16" s="61">
        <f t="shared" si="25"/>
        <v>670.51931737208406</v>
      </c>
      <c r="AM16" s="61">
        <f t="shared" si="26"/>
        <v>625.54290686867216</v>
      </c>
      <c r="AN16" s="61">
        <f t="shared" si="27"/>
        <v>2045.585366876325</v>
      </c>
      <c r="AO16" s="61">
        <f t="shared" si="28"/>
        <v>1078.7955338737606</v>
      </c>
      <c r="AP16" s="61">
        <f t="shared" si="29"/>
        <v>3236.3866016212819</v>
      </c>
      <c r="AQ16" s="61">
        <f t="shared" si="30"/>
        <v>4315.1821354950425</v>
      </c>
      <c r="AR16" s="65"/>
      <c r="AS16" s="65"/>
      <c r="AT16" s="65"/>
      <c r="AU16" s="65"/>
      <c r="AV16" s="65"/>
      <c r="AW16" s="65"/>
    </row>
    <row r="17" spans="2:49" s="5" customFormat="1" ht="15" customHeight="1">
      <c r="B17" s="48" t="s">
        <v>93</v>
      </c>
      <c r="C17" s="49">
        <f>VLOOKUP($B17,Unidades!$D$5:$N$23,6,FALSE())</f>
        <v>1714.42</v>
      </c>
      <c r="D17" s="49">
        <f>VLOOKUP($B17,Unidades!$D$5:$N$23,7,FALSE())</f>
        <v>505.81</v>
      </c>
      <c r="E17" s="49">
        <f>VLOOKUP($B17,Unidades!$D$5:$N$23,8,FALSE())</f>
        <v>1094.79</v>
      </c>
      <c r="F17" s="49">
        <f>VLOOKUP($B17,Unidades!$D$5:$N$23,9,FALSE())</f>
        <v>113.82</v>
      </c>
      <c r="G17" s="49">
        <f t="shared" si="0"/>
        <v>900.36849999999993</v>
      </c>
      <c r="H17" s="50">
        <f t="shared" si="1"/>
        <v>2</v>
      </c>
      <c r="I17" s="50">
        <f t="shared" si="2"/>
        <v>2.4</v>
      </c>
      <c r="J17" s="50" t="str">
        <f>VLOOKUP($B17,Unidades!$D$5:$N$23,10,FALSE())</f>
        <v>SIM</v>
      </c>
      <c r="K17" s="50" t="str">
        <f>VLOOKUP($B17,Unidades!$D$5:$N$23,11,FALSE())</f>
        <v>SIM</v>
      </c>
      <c r="L17" s="50">
        <f t="shared" si="3"/>
        <v>4.2</v>
      </c>
      <c r="M17" s="50">
        <f t="shared" ref="M17:M22" si="31">$M$6*H17+(IF(J17="SIM",$J$6,0))+(IF(K17="SIM",$K$6,0))</f>
        <v>8.1999999999999993</v>
      </c>
      <c r="N17" s="50">
        <f t="shared" ref="N17:N22" si="32">H17*12+I17*4+L17*2+M17</f>
        <v>50.2</v>
      </c>
      <c r="O17" s="51">
        <f t="shared" si="19"/>
        <v>2514.5500000000002</v>
      </c>
      <c r="P17" s="32"/>
      <c r="Q17" s="53" t="str">
        <f t="shared" si="6"/>
        <v>APS Três Passos</v>
      </c>
      <c r="R17" s="6">
        <f t="shared" si="20"/>
        <v>90.240000000000009</v>
      </c>
      <c r="S17" s="6">
        <f t="shared" si="21"/>
        <v>108.28800000000001</v>
      </c>
      <c r="T17" s="6">
        <f t="shared" si="22"/>
        <v>189.50400000000002</v>
      </c>
      <c r="U17" s="6">
        <f t="shared" si="23"/>
        <v>619.51</v>
      </c>
      <c r="V17" s="6">
        <f>VLOOKUP(Q17,'Desl. Base Ijuí'!$C$5:$S$23,13,FALSE())*($C$29+$D$29+$E$29*(VLOOKUP(Q17,'Desl. Base Ijuí'!$C$5:$S$23,17,FALSE())/12))</f>
        <v>151.7044027777778</v>
      </c>
      <c r="W17" s="6">
        <f>VLOOKUP(Q17,'Desl. Base Ijuí'!$C$5:$S$23,15,FALSE())*(2+(VLOOKUP(Q17,'Desl. Base Ijuí'!$C$5:$S$23,17,FALSE())/12))</f>
        <v>0</v>
      </c>
      <c r="X17" s="6">
        <f>VLOOKUP(Q17,'Desl. Base Ijuí'!$C$5:$Q$23,14,FALSE())</f>
        <v>0</v>
      </c>
      <c r="Y17" s="6">
        <f>VLOOKUP(Q17,'Desl. Base Ijuí'!$C$5:$Q$23,13,FALSE())*'Desl. Base Ijuí'!$E$28+'Desl. Base Ijuí'!$E$29*N17/12</f>
        <v>189.99166666666667</v>
      </c>
      <c r="Z17" s="6">
        <f>(H17/$AC$5)*'Equipe Técnica'!$C$13</f>
        <v>376.98670306102559</v>
      </c>
      <c r="AA17" s="6">
        <f>(I17/$AC$5)*'Equipe Técnica'!$C$13</f>
        <v>452.38404367323062</v>
      </c>
      <c r="AB17" s="6">
        <f>(L17/$AC$5)*'Equipe Técnica'!$C$13</f>
        <v>791.67207642815367</v>
      </c>
      <c r="AC17" s="6">
        <f>(M17/$AC$5)*'Equipe Técnica'!$C$13</f>
        <v>1545.6454825502046</v>
      </c>
      <c r="AD17" s="6">
        <f t="shared" ref="AD17:AD22" si="33">R17+(($V17+$W17+$X17+$Y17)*12/19)+$Z17</f>
        <v>683.03474692067471</v>
      </c>
      <c r="AE17" s="6">
        <f t="shared" ref="AE17:AE22" si="34">S17+(($V17+$W17+$X17+$Y17)*12/19)+$AA17</f>
        <v>776.48008753287979</v>
      </c>
      <c r="AF17" s="6">
        <f t="shared" ref="AF17:AF22" si="35">T17+(($V17+$W17+$X17+$Y17)*12/19)+$AB17</f>
        <v>1196.9841202878029</v>
      </c>
      <c r="AG17" s="6">
        <f t="shared" ref="AG17:AG22" si="36">U17+(($V17+$W17+$X17+$Y17)*12/19)+$AC17</f>
        <v>2380.9635264098538</v>
      </c>
      <c r="AI17" s="53" t="str">
        <f t="shared" si="11"/>
        <v>APS Três Passos</v>
      </c>
      <c r="AJ17" s="63">
        <f>VLOOKUP(AI17,Unidades!D$5:H$23,5,)</f>
        <v>0.28349999999999997</v>
      </c>
      <c r="AK17" s="61">
        <f t="shared" si="24"/>
        <v>876.67509767268609</v>
      </c>
      <c r="AL17" s="61">
        <f t="shared" si="25"/>
        <v>996.61219234845123</v>
      </c>
      <c r="AM17" s="61">
        <f t="shared" si="26"/>
        <v>1536.329118389395</v>
      </c>
      <c r="AN17" s="61">
        <f t="shared" si="27"/>
        <v>3055.9666861470473</v>
      </c>
      <c r="AO17" s="61">
        <f t="shared" si="28"/>
        <v>1719.5979053659894</v>
      </c>
      <c r="AP17" s="61">
        <f t="shared" si="29"/>
        <v>5158.7937160979682</v>
      </c>
      <c r="AQ17" s="61">
        <f t="shared" si="30"/>
        <v>6878.3916214639576</v>
      </c>
      <c r="AR17" s="65"/>
      <c r="AS17" s="65"/>
      <c r="AT17" s="65"/>
      <c r="AU17" s="65"/>
      <c r="AV17" s="65"/>
      <c r="AW17" s="65"/>
    </row>
    <row r="18" spans="2:49" s="5" customFormat="1" ht="15" customHeight="1">
      <c r="B18" s="48" t="s">
        <v>94</v>
      </c>
      <c r="C18" s="49">
        <f>VLOOKUP($B18,Unidades!$D$5:$N$23,6,FALSE())</f>
        <v>2444.66</v>
      </c>
      <c r="D18" s="49">
        <f>VLOOKUP($B18,Unidades!$D$5:$N$23,7,FALSE())</f>
        <v>1561.38</v>
      </c>
      <c r="E18" s="49">
        <f>VLOOKUP($B18,Unidades!$D$5:$N$23,8,FALSE())</f>
        <v>244.71</v>
      </c>
      <c r="F18" s="49">
        <f>VLOOKUP($B18,Unidades!$D$5:$N$23,9,FALSE())</f>
        <v>638.57000000000005</v>
      </c>
      <c r="G18" s="49">
        <f t="shared" si="0"/>
        <v>1710.8855000000001</v>
      </c>
      <c r="H18" s="50">
        <f t="shared" si="1"/>
        <v>2</v>
      </c>
      <c r="I18" s="50">
        <f t="shared" si="2"/>
        <v>2.4</v>
      </c>
      <c r="J18" s="50" t="str">
        <f>VLOOKUP($B18,Unidades!$D$5:$N$23,10,FALSE())</f>
        <v>SIM</v>
      </c>
      <c r="K18" s="50" t="str">
        <f>VLOOKUP($B18,Unidades!$D$5:$N$23,11,FALSE())</f>
        <v>SIM</v>
      </c>
      <c r="L18" s="50">
        <f t="shared" si="3"/>
        <v>4.2</v>
      </c>
      <c r="M18" s="50">
        <f t="shared" si="31"/>
        <v>8.1999999999999993</v>
      </c>
      <c r="N18" s="50">
        <f t="shared" si="32"/>
        <v>50.2</v>
      </c>
      <c r="O18" s="51">
        <f t="shared" si="19"/>
        <v>2514.5500000000002</v>
      </c>
      <c r="P18" s="32"/>
      <c r="Q18" s="53" t="str">
        <f t="shared" si="6"/>
        <v>APS Santo Ângelo</v>
      </c>
      <c r="R18" s="6">
        <f t="shared" si="20"/>
        <v>90.240000000000009</v>
      </c>
      <c r="S18" s="6">
        <f t="shared" si="21"/>
        <v>108.28800000000001</v>
      </c>
      <c r="T18" s="6">
        <f t="shared" si="22"/>
        <v>189.50400000000002</v>
      </c>
      <c r="U18" s="6">
        <f t="shared" si="23"/>
        <v>619.51</v>
      </c>
      <c r="V18" s="6">
        <f>VLOOKUP(Q18,'Desl. Base Ijuí'!$C$5:$S$23,13,FALSE())*($C$29+$D$29+$E$29*(VLOOKUP(Q18,'Desl. Base Ijuí'!$C$5:$S$23,17,FALSE())/12))</f>
        <v>63.143979166666675</v>
      </c>
      <c r="W18" s="6">
        <f>VLOOKUP(Q18,'Desl. Base Ijuí'!$C$5:$S$23,15,FALSE())*(2+(VLOOKUP(Q18,'Desl. Base Ijuí'!$C$5:$S$23,17,FALSE())/12))</f>
        <v>0</v>
      </c>
      <c r="X18" s="6">
        <f>VLOOKUP(Q18,'Desl. Base Ijuí'!$C$5:$Q$23,14,FALSE())</f>
        <v>0</v>
      </c>
      <c r="Y18" s="6">
        <f>VLOOKUP(Q18,'Desl. Base Ijuí'!$C$5:$Q$23,13,FALSE())*'Desl. Base Ijuí'!$E$28+'Desl. Base Ijuí'!$E$29*N18/12</f>
        <v>96.052916666666661</v>
      </c>
      <c r="Z18" s="6">
        <f>(H18/$AC$5)*'Equipe Técnica'!$C$13</f>
        <v>376.98670306102559</v>
      </c>
      <c r="AA18" s="6">
        <f>(I18/$AC$5)*'Equipe Técnica'!$C$13</f>
        <v>452.38404367323062</v>
      </c>
      <c r="AB18" s="6">
        <f>(L18/$AC$5)*'Equipe Técnica'!$C$13</f>
        <v>791.67207642815367</v>
      </c>
      <c r="AC18" s="6">
        <f>(M18/$AC$5)*'Equipe Técnica'!$C$13</f>
        <v>1545.6454825502046</v>
      </c>
      <c r="AD18" s="6">
        <f t="shared" si="33"/>
        <v>567.7721109557624</v>
      </c>
      <c r="AE18" s="6">
        <f t="shared" si="34"/>
        <v>661.21745156796749</v>
      </c>
      <c r="AF18" s="6">
        <f t="shared" si="35"/>
        <v>1081.7214843228905</v>
      </c>
      <c r="AG18" s="6">
        <f t="shared" si="36"/>
        <v>2265.7008904449413</v>
      </c>
      <c r="AI18" s="53" t="str">
        <f t="shared" si="11"/>
        <v>APS Santo Ângelo</v>
      </c>
      <c r="AJ18" s="63">
        <f>VLOOKUP(AI18,Unidades!D$5:H$23,5,)</f>
        <v>0.2979</v>
      </c>
      <c r="AK18" s="61">
        <f t="shared" si="24"/>
        <v>736.91142280948407</v>
      </c>
      <c r="AL18" s="61">
        <f t="shared" si="25"/>
        <v>858.19413039006508</v>
      </c>
      <c r="AM18" s="61">
        <f t="shared" si="26"/>
        <v>1403.9663145026798</v>
      </c>
      <c r="AN18" s="61">
        <f t="shared" si="27"/>
        <v>2940.6531857084892</v>
      </c>
      <c r="AO18" s="61">
        <f t="shared" si="28"/>
        <v>1502.0249508323266</v>
      </c>
      <c r="AP18" s="61">
        <f t="shared" si="29"/>
        <v>4506.0748524969795</v>
      </c>
      <c r="AQ18" s="61">
        <f t="shared" si="30"/>
        <v>6008.0998033293063</v>
      </c>
      <c r="AR18" s="65"/>
      <c r="AS18" s="65"/>
      <c r="AT18" s="65"/>
      <c r="AU18" s="65"/>
      <c r="AV18" s="65"/>
      <c r="AW18" s="65"/>
    </row>
    <row r="19" spans="2:49" s="5" customFormat="1" ht="15" customHeight="1">
      <c r="B19" s="48" t="s">
        <v>95</v>
      </c>
      <c r="C19" s="49">
        <f>VLOOKUP($B19,Unidades!$D$5:$N$23,6,FALSE())</f>
        <v>3799.13</v>
      </c>
      <c r="D19" s="49">
        <f>VLOOKUP($B19,Unidades!$D$5:$N$23,7,FALSE())</f>
        <v>2126.86</v>
      </c>
      <c r="E19" s="49">
        <f>VLOOKUP($B19,Unidades!$D$5:$N$23,8,FALSE())</f>
        <v>1672.27</v>
      </c>
      <c r="F19" s="49">
        <f>VLOOKUP($B19,Unidades!$D$5:$N$23,9,FALSE())</f>
        <v>0</v>
      </c>
      <c r="G19" s="49">
        <f t="shared" si="0"/>
        <v>2712.1545000000001</v>
      </c>
      <c r="H19" s="50">
        <f t="shared" si="1"/>
        <v>3</v>
      </c>
      <c r="I19" s="50">
        <f t="shared" si="2"/>
        <v>3.5999999999999996</v>
      </c>
      <c r="J19" s="50" t="str">
        <f>VLOOKUP($B19,Unidades!$D$5:$N$23,10,FALSE())</f>
        <v>NÃO</v>
      </c>
      <c r="K19" s="50" t="str">
        <f>VLOOKUP($B19,Unidades!$D$5:$N$23,11,FALSE())</f>
        <v>SIM</v>
      </c>
      <c r="L19" s="50">
        <f t="shared" si="3"/>
        <v>3.3000000000000003</v>
      </c>
      <c r="M19" s="50">
        <f t="shared" si="31"/>
        <v>7.3000000000000007</v>
      </c>
      <c r="N19" s="50">
        <f t="shared" si="32"/>
        <v>64.3</v>
      </c>
      <c r="O19" s="51">
        <f t="shared" si="19"/>
        <v>3123.3550000000005</v>
      </c>
      <c r="P19" s="32"/>
      <c r="Q19" s="53" t="str">
        <f t="shared" si="6"/>
        <v>GEX/APS Ijuí</v>
      </c>
      <c r="R19" s="6">
        <f t="shared" si="20"/>
        <v>135.36000000000001</v>
      </c>
      <c r="S19" s="6">
        <f t="shared" si="21"/>
        <v>162.43199999999999</v>
      </c>
      <c r="T19" s="6">
        <f t="shared" si="22"/>
        <v>148.89600000000002</v>
      </c>
      <c r="U19" s="6">
        <f t="shared" si="23"/>
        <v>551.5150000000001</v>
      </c>
      <c r="V19" s="6">
        <f>VLOOKUP(Q19,'Desl. Base Ijuí'!$C$5:$S$23,13,FALSE())*($C$29+$D$29+$E$29*(VLOOKUP(Q19,'Desl. Base Ijuí'!$C$5:$S$23,17,FALSE())/12))</f>
        <v>0</v>
      </c>
      <c r="W19" s="6">
        <f>VLOOKUP(Q19,'Desl. Base Ijuí'!$C$5:$S$23,15,FALSE())*(2+(VLOOKUP(Q19,'Desl. Base Ijuí'!$C$5:$S$23,17,FALSE())/12))</f>
        <v>0</v>
      </c>
      <c r="X19" s="6">
        <f>VLOOKUP(Q19,'Desl. Base Ijuí'!$C$5:$Q$23,14,FALSE())</f>
        <v>0</v>
      </c>
      <c r="Y19" s="6">
        <f>VLOOKUP(Q19,'Desl. Base Ijuí'!$C$5:$Q$23,13,FALSE())*'Desl. Base Ijuí'!$E$28+'Desl. Base Ijuí'!$E$29*N19/12</f>
        <v>37.240416666666668</v>
      </c>
      <c r="Z19" s="6">
        <f>(H19/$AC$5)*'Equipe Técnica'!$C$13</f>
        <v>565.48005459153831</v>
      </c>
      <c r="AA19" s="6">
        <f>(I19/$AC$5)*'Equipe Técnica'!$C$13</f>
        <v>678.57606550984599</v>
      </c>
      <c r="AB19" s="6">
        <f>(L19/$AC$5)*'Equipe Técnica'!$C$13</f>
        <v>622.02806005069226</v>
      </c>
      <c r="AC19" s="6">
        <f>(M19/$AC$5)*'Equipe Técnica'!$C$13</f>
        <v>1376.0014661727434</v>
      </c>
      <c r="AD19" s="6">
        <f t="shared" si="33"/>
        <v>724.36031774943308</v>
      </c>
      <c r="AE19" s="6">
        <f t="shared" si="34"/>
        <v>864.52832866774065</v>
      </c>
      <c r="AF19" s="6">
        <f t="shared" si="35"/>
        <v>794.44432320858698</v>
      </c>
      <c r="AG19" s="6">
        <f t="shared" si="36"/>
        <v>1951.0367293306383</v>
      </c>
      <c r="AI19" s="53" t="str">
        <f t="shared" si="11"/>
        <v>GEX/APS Ijuí</v>
      </c>
      <c r="AJ19" s="63">
        <f>VLOOKUP(AI19,Unidades!D$5:H$23,5,)</f>
        <v>0.28349999999999997</v>
      </c>
      <c r="AK19" s="61">
        <f t="shared" si="24"/>
        <v>929.71646783139738</v>
      </c>
      <c r="AL19" s="61">
        <f t="shared" si="25"/>
        <v>1109.6221098450451</v>
      </c>
      <c r="AM19" s="61">
        <f t="shared" si="26"/>
        <v>1019.6692888382214</v>
      </c>
      <c r="AN19" s="61">
        <f t="shared" si="27"/>
        <v>2504.1556420958746</v>
      </c>
      <c r="AO19" s="61">
        <f t="shared" si="28"/>
        <v>1678.2150227607719</v>
      </c>
      <c r="AP19" s="61">
        <f t="shared" si="29"/>
        <v>5034.6450682823161</v>
      </c>
      <c r="AQ19" s="61">
        <f t="shared" si="30"/>
        <v>6712.8600910430878</v>
      </c>
      <c r="AR19" s="65"/>
      <c r="AS19" s="65"/>
      <c r="AT19" s="65"/>
      <c r="AU19" s="65"/>
      <c r="AV19" s="65"/>
      <c r="AW19" s="65"/>
    </row>
    <row r="20" spans="2:49" s="5" customFormat="1" ht="15" customHeight="1">
      <c r="B20" s="48" t="s">
        <v>96</v>
      </c>
      <c r="C20" s="49">
        <f>VLOOKUP($B20,Unidades!$D$5:$N$23,6,FALSE())</f>
        <v>2645.74</v>
      </c>
      <c r="D20" s="49">
        <f>VLOOKUP($B20,Unidades!$D$5:$N$23,7,FALSE())</f>
        <v>632.79</v>
      </c>
      <c r="E20" s="49">
        <f>VLOOKUP($B20,Unidades!$D$5:$N$23,8,FALSE())</f>
        <v>673.7</v>
      </c>
      <c r="F20" s="49">
        <f>VLOOKUP($B20,Unidades!$D$5:$N$23,9,FALSE())</f>
        <v>1339.25</v>
      </c>
      <c r="G20" s="49">
        <f t="shared" si="0"/>
        <v>1002.51</v>
      </c>
      <c r="H20" s="50">
        <f t="shared" si="1"/>
        <v>2</v>
      </c>
      <c r="I20" s="50">
        <f t="shared" si="2"/>
        <v>2.4</v>
      </c>
      <c r="J20" s="50" t="str">
        <f>VLOOKUP($B20,Unidades!$D$5:$N$23,10,FALSE())</f>
        <v>NÃO</v>
      </c>
      <c r="K20" s="50" t="str">
        <f>VLOOKUP($B20,Unidades!$D$5:$N$23,11,FALSE())</f>
        <v>SIM</v>
      </c>
      <c r="L20" s="50">
        <f t="shared" si="3"/>
        <v>2.2000000000000002</v>
      </c>
      <c r="M20" s="50">
        <f t="shared" si="31"/>
        <v>6.2</v>
      </c>
      <c r="N20" s="50">
        <f t="shared" si="32"/>
        <v>44.2</v>
      </c>
      <c r="O20" s="51">
        <f t="shared" si="19"/>
        <v>2182.9700000000003</v>
      </c>
      <c r="P20" s="32"/>
      <c r="Q20" s="53" t="str">
        <f t="shared" si="6"/>
        <v>APS Cruz Alta</v>
      </c>
      <c r="R20" s="6">
        <f t="shared" si="20"/>
        <v>90.240000000000009</v>
      </c>
      <c r="S20" s="6">
        <f t="shared" si="21"/>
        <v>108.28800000000001</v>
      </c>
      <c r="T20" s="6">
        <f t="shared" si="22"/>
        <v>99.264000000000024</v>
      </c>
      <c r="U20" s="6">
        <f t="shared" si="23"/>
        <v>468.41000000000008</v>
      </c>
      <c r="V20" s="6">
        <f>VLOOKUP(Q20,'Desl. Base Ijuí'!$C$5:$S$23,13,FALSE())*($C$29+$D$29+$E$29*(VLOOKUP(Q20,'Desl. Base Ijuí'!$C$5:$S$23,17,FALSE())/12))</f>
        <v>74.26367361111113</v>
      </c>
      <c r="W20" s="6">
        <f>VLOOKUP(Q20,'Desl. Base Ijuí'!$C$5:$S$23,15,FALSE())*(2+(VLOOKUP(Q20,'Desl. Base Ijuí'!$C$5:$S$23,17,FALSE())/12))</f>
        <v>0</v>
      </c>
      <c r="X20" s="6">
        <f>VLOOKUP(Q20,'Desl. Base Ijuí'!$C$5:$Q$23,14,FALSE())</f>
        <v>0</v>
      </c>
      <c r="Y20" s="6">
        <f>VLOOKUP(Q20,'Desl. Base Ijuí'!$C$5:$Q$23,13,FALSE())*'Desl. Base Ijuí'!$E$28+'Desl. Base Ijuí'!$E$29*N20/12</f>
        <v>104.37291666666667</v>
      </c>
      <c r="Z20" s="6">
        <f>(H20/$AC$5)*'Equipe Técnica'!$C$13</f>
        <v>376.98670306102559</v>
      </c>
      <c r="AA20" s="6">
        <f>(I20/$AC$5)*'Equipe Técnica'!$C$13</f>
        <v>452.38404367323062</v>
      </c>
      <c r="AB20" s="6">
        <f>(L20/$AC$5)*'Equipe Técnica'!$C$13</f>
        <v>414.68537336712814</v>
      </c>
      <c r="AC20" s="6">
        <f>(M20/$AC$5)*'Equipe Técnica'!$C$13</f>
        <v>1168.6587794891793</v>
      </c>
      <c r="AD20" s="6">
        <f t="shared" si="33"/>
        <v>580.04981271014844</v>
      </c>
      <c r="AE20" s="6">
        <f t="shared" si="34"/>
        <v>673.49515332235342</v>
      </c>
      <c r="AF20" s="6">
        <f t="shared" si="35"/>
        <v>626.77248301625104</v>
      </c>
      <c r="AG20" s="6">
        <f t="shared" si="36"/>
        <v>1749.8918891383023</v>
      </c>
      <c r="AI20" s="53" t="str">
        <f t="shared" si="11"/>
        <v>APS Cruz Alta</v>
      </c>
      <c r="AJ20" s="63">
        <f>VLOOKUP(AI20,Unidades!D$5:H$23,5,)</f>
        <v>0.32779999999999998</v>
      </c>
      <c r="AK20" s="61">
        <f t="shared" si="24"/>
        <v>770.190141316535</v>
      </c>
      <c r="AL20" s="61">
        <f t="shared" si="25"/>
        <v>894.2668645814208</v>
      </c>
      <c r="AM20" s="61">
        <f t="shared" si="26"/>
        <v>832.22850294897808</v>
      </c>
      <c r="AN20" s="61">
        <f t="shared" si="27"/>
        <v>2323.5064503978374</v>
      </c>
      <c r="AO20" s="61">
        <f t="shared" si="28"/>
        <v>1400.609384201658</v>
      </c>
      <c r="AP20" s="61">
        <f t="shared" si="29"/>
        <v>4201.8281526049741</v>
      </c>
      <c r="AQ20" s="61">
        <f t="shared" si="30"/>
        <v>5602.4375368066321</v>
      </c>
      <c r="AR20" s="65"/>
      <c r="AS20" s="65"/>
      <c r="AT20" s="65"/>
      <c r="AU20" s="65"/>
      <c r="AV20" s="65"/>
      <c r="AW20" s="65"/>
    </row>
    <row r="21" spans="2:49" s="5" customFormat="1" ht="15" customHeight="1">
      <c r="B21" s="48" t="s">
        <v>97</v>
      </c>
      <c r="C21" s="49">
        <f>VLOOKUP($B21,Unidades!$D$5:$N$23,6,FALSE())</f>
        <v>934.97</v>
      </c>
      <c r="D21" s="49">
        <f>VLOOKUP($B21,Unidades!$D$5:$N$23,7,FALSE())</f>
        <v>469.49</v>
      </c>
      <c r="E21" s="49">
        <f>VLOOKUP($B21,Unidades!$D$5:$N$23,8,FALSE())</f>
        <v>58.16</v>
      </c>
      <c r="F21" s="49">
        <f>VLOOKUP($B21,Unidades!$D$5:$N$23,9,FALSE())</f>
        <v>407.32</v>
      </c>
      <c r="G21" s="49">
        <f t="shared" si="0"/>
        <v>530.57799999999997</v>
      </c>
      <c r="H21" s="50">
        <f t="shared" si="1"/>
        <v>1.5</v>
      </c>
      <c r="I21" s="50">
        <f t="shared" si="2"/>
        <v>1.7999999999999998</v>
      </c>
      <c r="J21" s="50" t="str">
        <f>VLOOKUP($B21,Unidades!$D$5:$N$23,10,FALSE())</f>
        <v>NÃO</v>
      </c>
      <c r="K21" s="50" t="str">
        <f>VLOOKUP($B21,Unidades!$D$5:$N$23,11,FALSE())</f>
        <v>SIM</v>
      </c>
      <c r="L21" s="50">
        <f t="shared" si="3"/>
        <v>1.6500000000000001</v>
      </c>
      <c r="M21" s="50">
        <f t="shared" si="31"/>
        <v>5.65</v>
      </c>
      <c r="N21" s="50">
        <f t="shared" si="32"/>
        <v>34.15</v>
      </c>
      <c r="O21" s="51">
        <f t="shared" si="19"/>
        <v>1712.7775000000001</v>
      </c>
      <c r="P21" s="32"/>
      <c r="Q21" s="53" t="str">
        <f t="shared" si="6"/>
        <v>APS Ibirubá</v>
      </c>
      <c r="R21" s="6">
        <f t="shared" si="20"/>
        <v>67.680000000000007</v>
      </c>
      <c r="S21" s="6">
        <f t="shared" si="21"/>
        <v>81.215999999999994</v>
      </c>
      <c r="T21" s="6">
        <f t="shared" si="22"/>
        <v>74.448000000000008</v>
      </c>
      <c r="U21" s="6">
        <f t="shared" si="23"/>
        <v>426.85750000000007</v>
      </c>
      <c r="V21" s="6">
        <f>VLOOKUP(Q21,'Desl. Base Ijuí'!$C$5:$S$23,13,FALSE())*($C$29+$D$29+$E$29*(VLOOKUP(Q21,'Desl. Base Ijuí'!$C$5:$S$23,17,FALSE())/12))</f>
        <v>74.26367361111113</v>
      </c>
      <c r="W21" s="6">
        <f>VLOOKUP(Q21,'Desl. Base Ijuí'!$C$5:$S$23,15,FALSE())*(2+(VLOOKUP(Q21,'Desl. Base Ijuí'!$C$5:$S$23,17,FALSE())/12))</f>
        <v>0</v>
      </c>
      <c r="X21" s="6">
        <f>VLOOKUP(Q21,'Desl. Base Ijuí'!$C$5:$Q$23,14,FALSE())</f>
        <v>0</v>
      </c>
      <c r="Y21" s="6">
        <f>VLOOKUP(Q21,'Desl. Base Ijuí'!$C$5:$Q$23,13,FALSE())*'Desl. Base Ijuí'!$E$28+'Desl. Base Ijuí'!$E$29*N21/12</f>
        <v>98.552291666666662</v>
      </c>
      <c r="Z21" s="6">
        <f>(H21/$AC$5)*'Equipe Técnica'!$C$13</f>
        <v>282.74002729576915</v>
      </c>
      <c r="AA21" s="6">
        <f>(I21/$AC$5)*'Equipe Técnica'!$C$13</f>
        <v>339.28803275492299</v>
      </c>
      <c r="AB21" s="6">
        <f>(L21/$AC$5)*'Equipe Técnica'!$C$13</f>
        <v>311.01403002534613</v>
      </c>
      <c r="AC21" s="6">
        <f>(M21/$AC$5)*'Equipe Técnica'!$C$13</f>
        <v>1064.9874361473974</v>
      </c>
      <c r="AD21" s="6">
        <f t="shared" si="33"/>
        <v>459.56695273436566</v>
      </c>
      <c r="AE21" s="6">
        <f t="shared" si="34"/>
        <v>529.6509581935195</v>
      </c>
      <c r="AF21" s="6">
        <f t="shared" si="35"/>
        <v>494.60895546394266</v>
      </c>
      <c r="AG21" s="6">
        <f t="shared" si="36"/>
        <v>1600.991861585994</v>
      </c>
      <c r="AI21" s="53" t="str">
        <f t="shared" si="11"/>
        <v>APS Ibirubá</v>
      </c>
      <c r="AJ21" s="63">
        <f>VLOOKUP(AI21,Unidades!D$5:H$23,5,)</f>
        <v>0.2979</v>
      </c>
      <c r="AK21" s="61">
        <f t="shared" si="24"/>
        <v>596.47194795393318</v>
      </c>
      <c r="AL21" s="61">
        <f t="shared" si="25"/>
        <v>687.433978639369</v>
      </c>
      <c r="AM21" s="61">
        <f t="shared" si="26"/>
        <v>641.95296329665121</v>
      </c>
      <c r="AN21" s="61">
        <f t="shared" si="27"/>
        <v>2077.9273371524619</v>
      </c>
      <c r="AO21" s="61">
        <f t="shared" si="28"/>
        <v>1105.7693794792033</v>
      </c>
      <c r="AP21" s="61">
        <f t="shared" si="29"/>
        <v>3317.3081384376101</v>
      </c>
      <c r="AQ21" s="61">
        <f t="shared" si="30"/>
        <v>4423.0775179168131</v>
      </c>
      <c r="AR21" s="65"/>
      <c r="AS21" s="65"/>
      <c r="AT21" s="65"/>
      <c r="AU21" s="65"/>
      <c r="AV21" s="65"/>
      <c r="AW21" s="65"/>
    </row>
    <row r="22" spans="2:49" s="5" customFormat="1" ht="15" customHeight="1">
      <c r="B22" s="48" t="s">
        <v>98</v>
      </c>
      <c r="C22" s="49">
        <f>VLOOKUP($B22,Unidades!$D$5:$N$23,6,FALSE())</f>
        <v>797.24</v>
      </c>
      <c r="D22" s="49">
        <f>VLOOKUP($B22,Unidades!$D$5:$N$23,7,FALSE())</f>
        <v>332.84</v>
      </c>
      <c r="E22" s="49">
        <f>VLOOKUP($B22,Unidades!$D$5:$N$23,8,FALSE())</f>
        <v>464.4</v>
      </c>
      <c r="F22" s="49">
        <f>VLOOKUP($B22,Unidades!$D$5:$N$23,9,FALSE())</f>
        <v>0</v>
      </c>
      <c r="G22" s="49">
        <f t="shared" si="0"/>
        <v>495.38</v>
      </c>
      <c r="H22" s="50">
        <f t="shared" si="1"/>
        <v>1.5</v>
      </c>
      <c r="I22" s="50">
        <f t="shared" si="2"/>
        <v>1.7999999999999998</v>
      </c>
      <c r="J22" s="50" t="str">
        <f>VLOOKUP($B22,Unidades!$D$5:$N$23,10,FALSE())</f>
        <v>NÃO</v>
      </c>
      <c r="K22" s="50" t="str">
        <f>VLOOKUP($B22,Unidades!$D$5:$N$23,11,FALSE())</f>
        <v>SIM</v>
      </c>
      <c r="L22" s="50">
        <f t="shared" si="3"/>
        <v>1.6500000000000001</v>
      </c>
      <c r="M22" s="50">
        <f t="shared" si="31"/>
        <v>5.65</v>
      </c>
      <c r="N22" s="50">
        <f t="shared" si="32"/>
        <v>34.15</v>
      </c>
      <c r="O22" s="51">
        <f t="shared" si="19"/>
        <v>1712.7775000000001</v>
      </c>
      <c r="P22" s="32"/>
      <c r="Q22" s="53" t="str">
        <f t="shared" si="6"/>
        <v>APS Itaqui</v>
      </c>
      <c r="R22" s="6">
        <f t="shared" si="20"/>
        <v>67.680000000000007</v>
      </c>
      <c r="S22" s="6">
        <f t="shared" si="21"/>
        <v>81.215999999999994</v>
      </c>
      <c r="T22" s="6">
        <f t="shared" si="22"/>
        <v>74.448000000000008</v>
      </c>
      <c r="U22" s="6">
        <f t="shared" si="23"/>
        <v>426.85750000000007</v>
      </c>
      <c r="V22" s="6">
        <f>VLOOKUP(Q22,'Desl. Base Ijuí'!$C$5:$S$23,13,FALSE())*($C$29+$D$29+$E$29*(VLOOKUP(Q22,'Desl. Base Ijuí'!$C$5:$S$23,17,FALSE())/12))</f>
        <v>194.19752083333339</v>
      </c>
      <c r="W22" s="6">
        <f>VLOOKUP(Q22,'Desl. Base Ijuí'!$C$5:$S$23,15,FALSE())*(2+(VLOOKUP(Q22,'Desl. Base Ijuí'!$C$5:$S$23,17,FALSE())/12))</f>
        <v>138.27083333333334</v>
      </c>
      <c r="X22" s="6">
        <f>VLOOKUP(Q22,'Desl. Base Ijuí'!$C$5:$Q$23,14,FALSE())</f>
        <v>0</v>
      </c>
      <c r="Y22" s="6">
        <f>VLOOKUP(Q22,'Desl. Base Ijuí'!$C$5:$Q$23,13,FALSE())*'Desl. Base Ijuí'!$E$28+'Desl. Base Ijuí'!$E$29*N22/12</f>
        <v>225.76979166666666</v>
      </c>
      <c r="Z22" s="6">
        <f>(H22/$AC$5)*'Equipe Técnica'!$C$13</f>
        <v>282.74002729576915</v>
      </c>
      <c r="AA22" s="6">
        <f>(I22/$AC$5)*'Equipe Técnica'!$C$13</f>
        <v>339.28803275492299</v>
      </c>
      <c r="AB22" s="6">
        <f>(L22/$AC$5)*'Equipe Técnica'!$C$13</f>
        <v>311.01403002534613</v>
      </c>
      <c r="AC22" s="6">
        <f>(M22/$AC$5)*'Equipe Técnica'!$C$13</f>
        <v>1064.9874361473974</v>
      </c>
      <c r="AD22" s="6">
        <f t="shared" si="33"/>
        <v>702.99148782208499</v>
      </c>
      <c r="AE22" s="6">
        <f t="shared" si="34"/>
        <v>773.07549328123878</v>
      </c>
      <c r="AF22" s="6">
        <f t="shared" si="35"/>
        <v>738.033490551662</v>
      </c>
      <c r="AG22" s="6">
        <f t="shared" si="36"/>
        <v>1844.4163966737133</v>
      </c>
      <c r="AI22" s="53" t="str">
        <f t="shared" si="11"/>
        <v>APS Itaqui</v>
      </c>
      <c r="AJ22" s="63">
        <f>VLOOKUP(AI22,Unidades!D$5:H$23,5,)</f>
        <v>0.2979</v>
      </c>
      <c r="AK22" s="61">
        <f t="shared" si="24"/>
        <v>912.41265204428419</v>
      </c>
      <c r="AL22" s="61">
        <f t="shared" si="25"/>
        <v>1003.3746827297199</v>
      </c>
      <c r="AM22" s="61">
        <f t="shared" si="26"/>
        <v>957.8936673870021</v>
      </c>
      <c r="AN22" s="61">
        <f t="shared" si="27"/>
        <v>2393.8680412428125</v>
      </c>
      <c r="AO22" s="61">
        <f t="shared" si="28"/>
        <v>1606.0088276222587</v>
      </c>
      <c r="AP22" s="61">
        <f t="shared" si="29"/>
        <v>4818.026482866776</v>
      </c>
      <c r="AQ22" s="61">
        <f t="shared" si="30"/>
        <v>6424.0353104890346</v>
      </c>
      <c r="AR22" s="65"/>
      <c r="AS22" s="65"/>
      <c r="AT22" s="65"/>
      <c r="AU22" s="65"/>
      <c r="AV22" s="65"/>
      <c r="AW22" s="65"/>
    </row>
    <row r="23" spans="2:49" s="5" customFormat="1" ht="15" customHeight="1">
      <c r="B23" s="48" t="s">
        <v>99</v>
      </c>
      <c r="C23" s="49">
        <f>VLOOKUP($B23,Unidades!$D$5:$N$23,6,FALSE())</f>
        <v>636.35</v>
      </c>
      <c r="D23" s="49">
        <f>VLOOKUP($B23,Unidades!$D$5:$N$23,7,FALSE())</f>
        <v>636.35</v>
      </c>
      <c r="E23" s="49">
        <f>VLOOKUP($B23,Unidades!$D$5:$N$23,8,FALSE())</f>
        <v>0</v>
      </c>
      <c r="F23" s="49">
        <f>VLOOKUP($B23,Unidades!$D$5:$N$23,9,FALSE())</f>
        <v>0</v>
      </c>
      <c r="G23" s="49">
        <f t="shared" ref="G23:G25" si="37">D23+E23*$E$6+F23*$F$6</f>
        <v>636.35</v>
      </c>
      <c r="H23" s="50">
        <f t="shared" ref="H23:H25" si="38">IF(G23&lt;750,1.5,IF(G23&lt;2000,2,3))</f>
        <v>1.5</v>
      </c>
      <c r="I23" s="50">
        <f t="shared" ref="I23:I25" si="39">$I$6*H23</f>
        <v>1.7999999999999998</v>
      </c>
      <c r="J23" s="50" t="str">
        <f>VLOOKUP($B23,Unidades!$D$5:$N$23,10,FALSE())</f>
        <v>NÃO</v>
      </c>
      <c r="K23" s="50" t="str">
        <f>VLOOKUP($B23,Unidades!$D$5:$N$23,11,FALSE())</f>
        <v>NÃO</v>
      </c>
      <c r="L23" s="50">
        <f t="shared" ref="L23:L25" si="40">$L$6*H23+(IF(J23="SIM",$J$6,0))</f>
        <v>1.6500000000000001</v>
      </c>
      <c r="M23" s="50">
        <f t="shared" ref="M23:M25" si="41">$M$6*H23+(IF(J23="SIM",$J$6,0))+(IF(K23="SIM",$K$6,0))</f>
        <v>1.6500000000000001</v>
      </c>
      <c r="N23" s="50">
        <f t="shared" ref="N23:N25" si="42">H23*12+I23*4+L23*2+M23</f>
        <v>30.15</v>
      </c>
      <c r="O23" s="51">
        <f t="shared" si="19"/>
        <v>1360.3680000000002</v>
      </c>
      <c r="P23" s="32"/>
      <c r="Q23" s="53" t="str">
        <f t="shared" si="6"/>
        <v>APS São Borja</v>
      </c>
      <c r="R23" s="6">
        <f t="shared" si="20"/>
        <v>67.680000000000007</v>
      </c>
      <c r="S23" s="6">
        <f t="shared" si="21"/>
        <v>81.215999999999994</v>
      </c>
      <c r="T23" s="6">
        <f t="shared" si="22"/>
        <v>74.448000000000008</v>
      </c>
      <c r="U23" s="6">
        <f t="shared" si="23"/>
        <v>74.448000000000008</v>
      </c>
      <c r="V23" s="6">
        <f>VLOOKUP(Q23,'Desl. Base Ijuí'!$C$5:$S$23,13,FALSE())*($C$29+$D$29+$E$29*(VLOOKUP(Q23,'Desl. Base Ijuí'!$C$5:$S$23,17,FALSE())/12))</f>
        <v>194.19752083333339</v>
      </c>
      <c r="W23" s="6">
        <f>VLOOKUP(Q23,'Desl. Base Ijuí'!$C$5:$S$23,15,FALSE())*(2+(VLOOKUP(Q23,'Desl. Base Ijuí'!$C$5:$S$23,17,FALSE())/12))</f>
        <v>138.27083333333334</v>
      </c>
      <c r="X23" s="6">
        <f>VLOOKUP(Q23,'Desl. Base Ijuí'!$C$5:$Q$23,14,FALSE())</f>
        <v>0</v>
      </c>
      <c r="Y23" s="6">
        <f>VLOOKUP(Q23,'Desl. Base Ijuí'!$C$5:$Q$23,13,FALSE())*'Desl. Base Ijuí'!$E$28+'Desl. Base Ijuí'!$E$29*N23/12</f>
        <v>223.453125</v>
      </c>
      <c r="Z23" s="6">
        <f>(H23/$AC$5)*'Equipe Técnica'!$C$13</f>
        <v>282.74002729576915</v>
      </c>
      <c r="AA23" s="6">
        <f>(I23/$AC$5)*'Equipe Técnica'!$C$13</f>
        <v>339.28803275492299</v>
      </c>
      <c r="AB23" s="6">
        <f>(L23/$AC$5)*'Equipe Técnica'!$C$13</f>
        <v>311.01403002534613</v>
      </c>
      <c r="AC23" s="6">
        <f>(M23/$AC$5)*'Equipe Técnica'!$C$13</f>
        <v>311.01403002534613</v>
      </c>
      <c r="AD23" s="6">
        <f t="shared" ref="AD23:AD25" si="43">R23+(($V23+$W23+$X23+$Y23)*12/19)+$Z23</f>
        <v>701.52832992734807</v>
      </c>
      <c r="AE23" s="6">
        <f t="shared" ref="AE23:AE25" si="44">S23+(($V23+$W23+$X23+$Y23)*12/19)+$AA23</f>
        <v>771.61233538650197</v>
      </c>
      <c r="AF23" s="6">
        <f t="shared" ref="AF23:AF25" si="45">T23+(($V23+$W23+$X23+$Y23)*12/19)+$AB23</f>
        <v>736.57033265692507</v>
      </c>
      <c r="AG23" s="6">
        <f t="shared" ref="AG23:AG25" si="46">U23+(($V23+$W23+$X23+$Y23)*12/19)+$AC23</f>
        <v>736.57033265692507</v>
      </c>
      <c r="AI23" s="53" t="str">
        <f t="shared" ref="AI23:AI25" si="47">B23</f>
        <v>APS São Borja</v>
      </c>
      <c r="AJ23" s="63">
        <f>VLOOKUP(AI23,Unidades!D$5:H$23,5,)</f>
        <v>0.2979</v>
      </c>
      <c r="AK23" s="61">
        <f t="shared" si="24"/>
        <v>910.51361941270511</v>
      </c>
      <c r="AL23" s="61">
        <f t="shared" si="25"/>
        <v>1001.4756500981409</v>
      </c>
      <c r="AM23" s="61">
        <f t="shared" si="26"/>
        <v>955.99463475542314</v>
      </c>
      <c r="AN23" s="61">
        <f t="shared" si="27"/>
        <v>955.99463475542314</v>
      </c>
      <c r="AO23" s="61">
        <f t="shared" si="28"/>
        <v>1483.3374948009412</v>
      </c>
      <c r="AP23" s="61">
        <f t="shared" si="29"/>
        <v>4450.0124844028232</v>
      </c>
      <c r="AQ23" s="61">
        <f t="shared" si="30"/>
        <v>5933.3499792037646</v>
      </c>
      <c r="AR23" s="65"/>
      <c r="AS23" s="65"/>
      <c r="AT23" s="65"/>
      <c r="AU23" s="65"/>
      <c r="AV23" s="65"/>
      <c r="AW23" s="65"/>
    </row>
    <row r="24" spans="2:49" s="5" customFormat="1" ht="15" customHeight="1">
      <c r="B24" s="48" t="s">
        <v>100</v>
      </c>
      <c r="C24" s="49">
        <f>VLOOKUP($B24,Unidades!$D$5:$N$23,6,FALSE())</f>
        <v>453.85</v>
      </c>
      <c r="D24" s="49">
        <f>VLOOKUP($B24,Unidades!$D$5:$N$23,7,FALSE())</f>
        <v>271.73</v>
      </c>
      <c r="E24" s="49">
        <f>VLOOKUP($B24,Unidades!$D$5:$N$23,8,FALSE())</f>
        <v>150.88</v>
      </c>
      <c r="F24" s="49">
        <f>VLOOKUP($B24,Unidades!$D$5:$N$23,9,FALSE())</f>
        <v>31.24</v>
      </c>
      <c r="G24" s="49">
        <f t="shared" si="37"/>
        <v>327.66200000000003</v>
      </c>
      <c r="H24" s="50">
        <f t="shared" si="38"/>
        <v>1.5</v>
      </c>
      <c r="I24" s="50">
        <f t="shared" si="39"/>
        <v>1.7999999999999998</v>
      </c>
      <c r="J24" s="50" t="str">
        <f>VLOOKUP($B24,Unidades!$D$5:$N$23,10,FALSE())</f>
        <v>NÃO</v>
      </c>
      <c r="K24" s="50" t="str">
        <f>VLOOKUP($B24,Unidades!$D$5:$N$23,11,FALSE())</f>
        <v>SIM</v>
      </c>
      <c r="L24" s="50">
        <f t="shared" si="40"/>
        <v>1.6500000000000001</v>
      </c>
      <c r="M24" s="50">
        <f t="shared" si="41"/>
        <v>5.65</v>
      </c>
      <c r="N24" s="50">
        <f t="shared" si="42"/>
        <v>34.15</v>
      </c>
      <c r="O24" s="51">
        <f t="shared" si="19"/>
        <v>1712.7775000000001</v>
      </c>
      <c r="P24" s="32"/>
      <c r="Q24" s="53" t="str">
        <f t="shared" si="6"/>
        <v>APS Júlio de Castilhos</v>
      </c>
      <c r="R24" s="6">
        <f t="shared" si="20"/>
        <v>67.680000000000007</v>
      </c>
      <c r="S24" s="6">
        <f t="shared" si="21"/>
        <v>81.215999999999994</v>
      </c>
      <c r="T24" s="6">
        <f t="shared" si="22"/>
        <v>74.448000000000008</v>
      </c>
      <c r="U24" s="6">
        <f t="shared" si="23"/>
        <v>426.85750000000007</v>
      </c>
      <c r="V24" s="6">
        <f>VLOOKUP(Q24,'Desl. Base Ijuí'!$C$5:$S$23,13,FALSE())*($C$29+$D$29+$E$29*(VLOOKUP(Q24,'Desl. Base Ijuí'!$C$5:$S$23,17,FALSE())/12))</f>
        <v>92.928875000000019</v>
      </c>
      <c r="W24" s="6">
        <f>VLOOKUP(Q24,'Desl. Base Ijuí'!$C$5:$S$23,15,FALSE())*(2+(VLOOKUP(Q24,'Desl. Base Ijuí'!$C$5:$S$23,17,FALSE())/12))</f>
        <v>0</v>
      </c>
      <c r="X24" s="6">
        <f>VLOOKUP(Q24,'Desl. Base Ijuí'!$C$5:$Q$23,14,FALSE())</f>
        <v>0</v>
      </c>
      <c r="Y24" s="6">
        <f>VLOOKUP(Q24,'Desl. Base Ijuí'!$C$5:$Q$23,13,FALSE())*'Desl. Base Ijuí'!$E$28+'Desl. Base Ijuí'!$E$29*N24/12</f>
        <v>118.35104166666666</v>
      </c>
      <c r="Z24" s="6">
        <f>(H24/$AC$5)*'Equipe Técnica'!$C$13</f>
        <v>282.74002729576915</v>
      </c>
      <c r="AA24" s="6">
        <f>(I24/$AC$5)*'Equipe Técnica'!$C$13</f>
        <v>339.28803275492299</v>
      </c>
      <c r="AB24" s="6">
        <f>(L24/$AC$5)*'Equipe Técnica'!$C$13</f>
        <v>311.01403002534613</v>
      </c>
      <c r="AC24" s="6">
        <f>(M24/$AC$5)*'Equipe Técnica'!$C$13</f>
        <v>1064.9874361473974</v>
      </c>
      <c r="AD24" s="6">
        <f t="shared" si="43"/>
        <v>483.85997466419019</v>
      </c>
      <c r="AE24" s="6">
        <f t="shared" si="44"/>
        <v>553.94398012334409</v>
      </c>
      <c r="AF24" s="6">
        <f t="shared" si="45"/>
        <v>518.9019773937672</v>
      </c>
      <c r="AG24" s="6">
        <f t="shared" si="46"/>
        <v>1625.2848835158184</v>
      </c>
      <c r="AI24" s="53" t="str">
        <f t="shared" si="47"/>
        <v>APS Júlio de Castilhos</v>
      </c>
      <c r="AJ24" s="63">
        <f>VLOOKUP(AI24,Unidades!D$5:H$23,5,)</f>
        <v>0.32779999999999998</v>
      </c>
      <c r="AK24" s="61">
        <f t="shared" si="24"/>
        <v>642.46927435911164</v>
      </c>
      <c r="AL24" s="61">
        <f t="shared" si="25"/>
        <v>735.52681680777619</v>
      </c>
      <c r="AM24" s="61">
        <f t="shared" si="26"/>
        <v>688.99804558344397</v>
      </c>
      <c r="AN24" s="61">
        <f t="shared" si="27"/>
        <v>2158.0532683323036</v>
      </c>
      <c r="AO24" s="61">
        <f t="shared" si="28"/>
        <v>1182.3156599199697</v>
      </c>
      <c r="AP24" s="61">
        <f t="shared" si="29"/>
        <v>3546.946979759909</v>
      </c>
      <c r="AQ24" s="61">
        <f t="shared" si="30"/>
        <v>4729.2626396798787</v>
      </c>
      <c r="AR24" s="65"/>
      <c r="AS24" s="65"/>
      <c r="AT24" s="65"/>
      <c r="AU24" s="65"/>
      <c r="AV24" s="65"/>
      <c r="AW24" s="65"/>
    </row>
    <row r="25" spans="2:49" s="5" customFormat="1" ht="15" customHeight="1">
      <c r="B25" s="48" t="s">
        <v>101</v>
      </c>
      <c r="C25" s="49">
        <f>VLOOKUP($B25,Unidades!$D$5:$N$23,6,FALSE())</f>
        <v>888.44</v>
      </c>
      <c r="D25" s="49">
        <f>VLOOKUP($B25,Unidades!$D$5:$N$23,7,FALSE())</f>
        <v>307.18</v>
      </c>
      <c r="E25" s="49">
        <f>VLOOKUP($B25,Unidades!$D$5:$N$23,8,FALSE())</f>
        <v>460.85</v>
      </c>
      <c r="F25" s="49">
        <f>VLOOKUP($B25,Unidades!$D$5:$N$23,9,FALSE())</f>
        <v>120.41</v>
      </c>
      <c r="G25" s="49">
        <f t="shared" si="37"/>
        <v>480.51849999999996</v>
      </c>
      <c r="H25" s="50">
        <f t="shared" si="38"/>
        <v>1.5</v>
      </c>
      <c r="I25" s="50">
        <f t="shared" si="39"/>
        <v>1.7999999999999998</v>
      </c>
      <c r="J25" s="50" t="str">
        <f>VLOOKUP($B25,Unidades!$D$5:$N$23,10,FALSE())</f>
        <v>NÃO</v>
      </c>
      <c r="K25" s="50" t="str">
        <f>VLOOKUP($B25,Unidades!$D$5:$N$23,11,FALSE())</f>
        <v>SIM</v>
      </c>
      <c r="L25" s="50">
        <f t="shared" si="40"/>
        <v>1.6500000000000001</v>
      </c>
      <c r="M25" s="50">
        <f t="shared" si="41"/>
        <v>5.65</v>
      </c>
      <c r="N25" s="50">
        <f t="shared" si="42"/>
        <v>34.15</v>
      </c>
      <c r="O25" s="51">
        <f t="shared" si="19"/>
        <v>1712.7775000000001</v>
      </c>
      <c r="P25" s="32"/>
      <c r="Q25" s="53" t="str">
        <f t="shared" si="6"/>
        <v>APS Tupanciretã</v>
      </c>
      <c r="R25" s="6">
        <f t="shared" si="20"/>
        <v>67.680000000000007</v>
      </c>
      <c r="S25" s="6">
        <f t="shared" si="21"/>
        <v>81.215999999999994</v>
      </c>
      <c r="T25" s="6">
        <f t="shared" si="22"/>
        <v>74.448000000000008</v>
      </c>
      <c r="U25" s="6">
        <f t="shared" si="23"/>
        <v>426.85750000000007</v>
      </c>
      <c r="V25" s="6">
        <f>VLOOKUP(Q25,'Desl. Base Ijuí'!$C$5:$S$23,13,FALSE())*($C$29+$D$29+$E$29*(VLOOKUP(Q25,'Desl. Base Ijuí'!$C$5:$S$23,17,FALSE())/12))</f>
        <v>92.928875000000019</v>
      </c>
      <c r="W25" s="6">
        <f>VLOOKUP(Q25,'Desl. Base Ijuí'!$C$5:$S$23,15,FALSE())*(2+(VLOOKUP(Q25,'Desl. Base Ijuí'!$C$5:$S$23,17,FALSE())/12))</f>
        <v>0</v>
      </c>
      <c r="X25" s="6">
        <f>VLOOKUP(Q25,'Desl. Base Ijuí'!$C$5:$Q$23,14,FALSE())</f>
        <v>0</v>
      </c>
      <c r="Y25" s="6">
        <f>VLOOKUP(Q25,'Desl. Base Ijuí'!$C$5:$Q$23,13,FALSE())*'Desl. Base Ijuí'!$E$28+'Desl. Base Ijuí'!$E$29*N25/12</f>
        <v>118.35104166666666</v>
      </c>
      <c r="Z25" s="6">
        <f>(H25/$AC$5)*'Equipe Técnica'!$C$13</f>
        <v>282.74002729576915</v>
      </c>
      <c r="AA25" s="6">
        <f>(I25/$AC$5)*'Equipe Técnica'!$C$13</f>
        <v>339.28803275492299</v>
      </c>
      <c r="AB25" s="6">
        <f>(L25/$AC$5)*'Equipe Técnica'!$C$13</f>
        <v>311.01403002534613</v>
      </c>
      <c r="AC25" s="6">
        <f>(M25/$AC$5)*'Equipe Técnica'!$C$13</f>
        <v>1064.9874361473974</v>
      </c>
      <c r="AD25" s="6">
        <f t="shared" si="43"/>
        <v>483.85997466419019</v>
      </c>
      <c r="AE25" s="6">
        <f t="shared" si="44"/>
        <v>553.94398012334409</v>
      </c>
      <c r="AF25" s="6">
        <f t="shared" si="45"/>
        <v>518.9019773937672</v>
      </c>
      <c r="AG25" s="6">
        <f t="shared" si="46"/>
        <v>1625.2848835158184</v>
      </c>
      <c r="AI25" s="53" t="str">
        <f t="shared" si="47"/>
        <v>APS Tupanciretã</v>
      </c>
      <c r="AJ25" s="63">
        <f>VLOOKUP(AI25,Unidades!D$5:H$23,5,)</f>
        <v>0.2979</v>
      </c>
      <c r="AK25" s="61">
        <f t="shared" si="24"/>
        <v>628.00186111665244</v>
      </c>
      <c r="AL25" s="61">
        <f t="shared" si="25"/>
        <v>718.96389180208837</v>
      </c>
      <c r="AM25" s="61">
        <f t="shared" si="26"/>
        <v>673.48287645937046</v>
      </c>
      <c r="AN25" s="61">
        <f t="shared" si="27"/>
        <v>2109.4572503151808</v>
      </c>
      <c r="AO25" s="61">
        <f t="shared" si="28"/>
        <v>1155.6917419868421</v>
      </c>
      <c r="AP25" s="61">
        <f t="shared" si="29"/>
        <v>3467.075225960526</v>
      </c>
      <c r="AQ25" s="61">
        <f t="shared" si="30"/>
        <v>4622.7669679473684</v>
      </c>
      <c r="AR25" s="65"/>
      <c r="AS25" s="65"/>
      <c r="AT25" s="65"/>
      <c r="AU25" s="65"/>
      <c r="AV25" s="65"/>
      <c r="AW25" s="65"/>
    </row>
    <row r="26" spans="2:49" s="2" customFormat="1" ht="20.100000000000001" customHeight="1">
      <c r="B26" s="151" t="s">
        <v>102</v>
      </c>
      <c r="C26" s="80">
        <f t="shared" ref="C26:I26" si="48">SUM(C7:C25)</f>
        <v>26849.1</v>
      </c>
      <c r="D26" s="80">
        <f t="shared" ref="D26" si="49">SUM(D7:D25)</f>
        <v>12773.010000000002</v>
      </c>
      <c r="E26" s="80">
        <f t="shared" ref="E26" si="50">SUM(E7:E25)</f>
        <v>7123.17</v>
      </c>
      <c r="F26" s="80">
        <f t="shared" ref="F26" si="51">SUM(F7:F25)</f>
        <v>6952.9199999999992</v>
      </c>
      <c r="G26" s="80">
        <f t="shared" ref="G26" si="52">SUM(G7:G25)</f>
        <v>15961.411499999998</v>
      </c>
      <c r="H26" s="81">
        <f t="shared" si="48"/>
        <v>33.5</v>
      </c>
      <c r="I26" s="81">
        <f t="shared" si="48"/>
        <v>40.199999999999982</v>
      </c>
      <c r="J26" s="81">
        <f>COUNTIF(J7:J25,"SIM")</f>
        <v>4</v>
      </c>
      <c r="K26" s="81">
        <f>COUNTIF(K7:K25,"SIM")</f>
        <v>18</v>
      </c>
      <c r="L26" s="81">
        <f>SUM(L7:L25)</f>
        <v>44.849999999999994</v>
      </c>
      <c r="M26" s="81">
        <f>SUM(M7:M25)</f>
        <v>116.85000000000002</v>
      </c>
      <c r="N26" s="81">
        <f>SUM(N7:N25)</f>
        <v>769.34999999999991</v>
      </c>
      <c r="O26" s="82">
        <f>SUM(O7:O25)</f>
        <v>38218.607999999993</v>
      </c>
      <c r="P26" s="33"/>
      <c r="Q26" s="81" t="s">
        <v>102</v>
      </c>
      <c r="R26" s="85">
        <f t="shared" ref="R26:AG26" si="53">SUM(R7:R25)</f>
        <v>1511.5200000000004</v>
      </c>
      <c r="S26" s="85">
        <f t="shared" si="53"/>
        <v>1813.8239999999996</v>
      </c>
      <c r="T26" s="85">
        <f t="shared" si="53"/>
        <v>2023.6320000000005</v>
      </c>
      <c r="U26" s="85">
        <f t="shared" si="53"/>
        <v>8777.8080000000027</v>
      </c>
      <c r="V26" s="85">
        <f t="shared" si="53"/>
        <v>1876.0513055555562</v>
      </c>
      <c r="W26" s="85">
        <f t="shared" si="53"/>
        <v>276.54166666666669</v>
      </c>
      <c r="X26" s="85">
        <f t="shared" si="53"/>
        <v>0</v>
      </c>
      <c r="Y26" s="85">
        <f t="shared" si="53"/>
        <v>2435.5668750000004</v>
      </c>
      <c r="Z26" s="85">
        <f t="shared" si="53"/>
        <v>6314.5272762721797</v>
      </c>
      <c r="AA26" s="85">
        <f t="shared" si="53"/>
        <v>7577.4327315266119</v>
      </c>
      <c r="AB26" s="85">
        <f t="shared" si="53"/>
        <v>8453.9268161434975</v>
      </c>
      <c r="AC26" s="85">
        <f t="shared" si="53"/>
        <v>22025.448126340416</v>
      </c>
      <c r="AD26" s="85">
        <f t="shared" si="53"/>
        <v>10723.832442938845</v>
      </c>
      <c r="AE26" s="85">
        <f t="shared" si="53"/>
        <v>12289.04189819328</v>
      </c>
      <c r="AF26" s="85">
        <f t="shared" si="53"/>
        <v>13375.343982810167</v>
      </c>
      <c r="AG26" s="85">
        <f t="shared" si="53"/>
        <v>33701.041293007089</v>
      </c>
      <c r="AI26" s="225" t="s">
        <v>102</v>
      </c>
      <c r="AJ26" s="225"/>
      <c r="AK26" s="86">
        <f t="shared" ref="AK26:AQ26" si="54">SUM(AK7:AK25)</f>
        <v>13887.32202777535</v>
      </c>
      <c r="AL26" s="86">
        <f t="shared" si="54"/>
        <v>15913.941213637705</v>
      </c>
      <c r="AM26" s="86">
        <f t="shared" si="54"/>
        <v>17319.557707794069</v>
      </c>
      <c r="AN26" s="86">
        <f t="shared" si="54"/>
        <v>43637.405643049497</v>
      </c>
      <c r="AO26" s="86">
        <f t="shared" si="54"/>
        <v>25715.012520541055</v>
      </c>
      <c r="AP26" s="86">
        <f t="shared" si="54"/>
        <v>77145.03756162319</v>
      </c>
      <c r="AQ26" s="86">
        <f t="shared" si="54"/>
        <v>102860.05008216422</v>
      </c>
    </row>
    <row r="27" spans="2:49" ht="18.399999999999999" customHeight="1">
      <c r="H27" s="34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27"/>
      <c r="AE27" s="27"/>
      <c r="AF27" s="27"/>
      <c r="AG27" s="27"/>
    </row>
    <row r="28" spans="2:49" ht="40.35" customHeight="1">
      <c r="B28" s="224" t="s">
        <v>27</v>
      </c>
      <c r="C28" s="77" t="s">
        <v>233</v>
      </c>
      <c r="D28" s="77" t="s">
        <v>234</v>
      </c>
      <c r="E28" s="77" t="s">
        <v>103</v>
      </c>
      <c r="R28" s="127"/>
      <c r="Z28" s="127"/>
      <c r="AA28" s="127"/>
      <c r="AB28" s="127"/>
      <c r="AC28" s="127"/>
    </row>
    <row r="29" spans="2:49" ht="18.399999999999999" customHeight="1">
      <c r="B29" s="224"/>
      <c r="C29" s="6">
        <f>'Comp. Oficial de Manutenção'!D11</f>
        <v>24.41</v>
      </c>
      <c r="D29" s="6">
        <v>20.71</v>
      </c>
      <c r="E29" s="6">
        <v>30.43</v>
      </c>
    </row>
    <row r="30" spans="2:49" ht="28.9" customHeight="1">
      <c r="B30" s="25" t="str">
        <f>'Equipe Técnica'!B9</f>
        <v>* Tabela SINAPI Outubro/2023 (Não Desonerado)</v>
      </c>
    </row>
    <row r="31" spans="2:49" ht="23.85" customHeight="1"/>
  </sheetData>
  <mergeCells count="44">
    <mergeCell ref="B2:O2"/>
    <mergeCell ref="Z5:AB5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P5:AP6"/>
    <mergeCell ref="AQ5:AQ6"/>
    <mergeCell ref="AS5:AS6"/>
    <mergeCell ref="AT10:AU10"/>
    <mergeCell ref="AT11:AU11"/>
    <mergeCell ref="AT12:AU12"/>
    <mergeCell ref="B28:B29"/>
    <mergeCell ref="AT13:AU13"/>
    <mergeCell ref="AT14:AU14"/>
    <mergeCell ref="AT15:AU15"/>
    <mergeCell ref="AI26:AJ26"/>
  </mergeCells>
  <printOptions horizontalCentered="1" verticalCentered="1"/>
  <pageMargins left="7.8472222222222193E-2" right="3.8194444444444399E-2" top="0.196527777777778" bottom="0.196527777777778" header="0.51180555555555496" footer="0.51180555555555496"/>
  <pageSetup paperSize="9" pageOrder="overThenDown" orientation="portrait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FF"/>
  </sheetPr>
  <dimension ref="B1:IZ45"/>
  <sheetViews>
    <sheetView showGridLines="0" zoomScale="110" zoomScaleNormal="110" workbookViewId="0">
      <selection activeCell="J39" sqref="J39"/>
    </sheetView>
  </sheetViews>
  <sheetFormatPr defaultRowHeight="14.25"/>
  <cols>
    <col min="1" max="1" width="5.625" customWidth="1"/>
    <col min="2" max="2" width="12.625" style="36" customWidth="1"/>
    <col min="3" max="3" width="32.625" style="36" customWidth="1"/>
    <col min="4" max="13" width="9.625" style="36" customWidth="1"/>
    <col min="14" max="15" width="9.625" style="44" customWidth="1"/>
    <col min="16" max="17" width="9.625" style="36" customWidth="1"/>
    <col min="18" max="18" width="8.625" style="36" customWidth="1"/>
    <col min="19" max="19" width="13.875" style="36" customWidth="1"/>
    <col min="20" max="260" width="8.625" style="36" customWidth="1"/>
    <col min="261" max="1026" width="8.625" customWidth="1"/>
  </cols>
  <sheetData>
    <row r="1" spans="2:19" ht="15" customHeight="1"/>
    <row r="2" spans="2:19" ht="24.95" customHeight="1">
      <c r="B2" s="212" t="str">
        <f>"DESLOCAMENTO BASE "&amp;Resumo!B5</f>
        <v>DESLOCAMENTO BASE IJUÍ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4"/>
    </row>
    <row r="3" spans="2:19" ht="15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9" ht="38.1" customHeight="1">
      <c r="B4" s="10" t="s">
        <v>104</v>
      </c>
      <c r="C4" s="10" t="str">
        <f>"Rota (saída e retorno "&amp;Resumo!B5&amp;")"</f>
        <v>Rota (saída e retorno IJUÍ)</v>
      </c>
      <c r="D4" s="10" t="s">
        <v>105</v>
      </c>
      <c r="E4" s="10" t="s">
        <v>106</v>
      </c>
      <c r="F4" s="10" t="s">
        <v>107</v>
      </c>
      <c r="G4" s="10" t="s">
        <v>108</v>
      </c>
      <c r="H4" s="10" t="s">
        <v>109</v>
      </c>
      <c r="I4" s="10" t="s">
        <v>110</v>
      </c>
      <c r="J4" s="10" t="s">
        <v>111</v>
      </c>
      <c r="K4" s="10" t="s">
        <v>112</v>
      </c>
      <c r="L4" s="10" t="s">
        <v>113</v>
      </c>
      <c r="M4" s="37" t="s">
        <v>114</v>
      </c>
      <c r="N4" s="10" t="s">
        <v>115</v>
      </c>
      <c r="O4" s="71" t="s">
        <v>116</v>
      </c>
      <c r="P4" s="71" t="s">
        <v>117</v>
      </c>
      <c r="Q4" s="71" t="s">
        <v>63</v>
      </c>
      <c r="R4" s="183" t="s">
        <v>281</v>
      </c>
      <c r="S4" s="183" t="s">
        <v>280</v>
      </c>
    </row>
    <row r="5" spans="2:19" ht="15.95" customHeight="1">
      <c r="B5" s="143">
        <v>1</v>
      </c>
      <c r="C5" s="135" t="s">
        <v>95</v>
      </c>
      <c r="D5" s="136">
        <v>0</v>
      </c>
      <c r="E5" s="136">
        <v>0</v>
      </c>
      <c r="F5" s="136">
        <v>0</v>
      </c>
      <c r="G5" s="137">
        <f>SUM(D5:F5)</f>
        <v>0</v>
      </c>
      <c r="H5" s="147">
        <v>0</v>
      </c>
      <c r="I5" s="147">
        <v>0</v>
      </c>
      <c r="J5" s="147">
        <v>0</v>
      </c>
      <c r="K5" s="138">
        <f>SUM(H5:J5)</f>
        <v>0</v>
      </c>
      <c r="L5" s="144">
        <f>K5/60</f>
        <v>0</v>
      </c>
      <c r="M5" s="140">
        <v>0</v>
      </c>
      <c r="N5" s="141">
        <v>1</v>
      </c>
      <c r="O5" s="144">
        <f>L5/N5</f>
        <v>0</v>
      </c>
      <c r="P5" s="140">
        <f>M5/N5</f>
        <v>0</v>
      </c>
      <c r="Q5" s="140">
        <v>0</v>
      </c>
      <c r="R5" s="184" t="str">
        <f>INDEX('Base Ijuí'!$K$7:$K$25,MATCH('Desl. Base Ijuí'!C5,'Base Ijuí'!$B$7:$B$25,0))</f>
        <v>SIM</v>
      </c>
      <c r="S5" s="184">
        <v>1</v>
      </c>
    </row>
    <row r="6" spans="2:19" ht="15.95" customHeight="1">
      <c r="B6" s="143">
        <v>2</v>
      </c>
      <c r="C6" s="135" t="s">
        <v>85</v>
      </c>
      <c r="D6" s="136">
        <v>47.7</v>
      </c>
      <c r="E6" s="136">
        <v>47.9</v>
      </c>
      <c r="F6" s="136">
        <v>0</v>
      </c>
      <c r="G6" s="137">
        <f>SUM(D6:F6)</f>
        <v>95.6</v>
      </c>
      <c r="H6" s="147">
        <v>49</v>
      </c>
      <c r="I6" s="147">
        <v>50</v>
      </c>
      <c r="J6" s="147">
        <v>0</v>
      </c>
      <c r="K6" s="138">
        <f>SUM(H6:J6)</f>
        <v>99</v>
      </c>
      <c r="L6" s="144">
        <f>K6/60</f>
        <v>1.65</v>
      </c>
      <c r="M6" s="140">
        <v>0</v>
      </c>
      <c r="N6" s="141">
        <v>1</v>
      </c>
      <c r="O6" s="139">
        <f>L6/N6</f>
        <v>1.65</v>
      </c>
      <c r="P6" s="140">
        <f>M6/N6</f>
        <v>0</v>
      </c>
      <c r="Q6" s="140">
        <v>0</v>
      </c>
      <c r="R6" s="184" t="str">
        <f>INDEX('Base Ijuí'!$K$7:$K$25,MATCH('Desl. Base Ijuí'!C6,'Base Ijuí'!$B$7:$B$25,0))</f>
        <v>SIM</v>
      </c>
      <c r="S6" s="184">
        <v>1</v>
      </c>
    </row>
    <row r="7" spans="2:19" ht="15.95" customHeight="1">
      <c r="B7" s="247">
        <v>3</v>
      </c>
      <c r="C7" s="135" t="s">
        <v>77</v>
      </c>
      <c r="D7" s="239">
        <v>110</v>
      </c>
      <c r="E7" s="239">
        <v>40</v>
      </c>
      <c r="F7" s="239">
        <v>109</v>
      </c>
      <c r="G7" s="240">
        <f>SUM(D7:F8)</f>
        <v>259</v>
      </c>
      <c r="H7" s="243">
        <v>98</v>
      </c>
      <c r="I7" s="243">
        <v>51</v>
      </c>
      <c r="J7" s="243">
        <v>95</v>
      </c>
      <c r="K7" s="244">
        <f>SUM(H7:J8)</f>
        <v>244</v>
      </c>
      <c r="L7" s="245">
        <f>K7/60</f>
        <v>4.0666666666666664</v>
      </c>
      <c r="M7" s="241">
        <v>0</v>
      </c>
      <c r="N7" s="248">
        <v>2</v>
      </c>
      <c r="O7" s="139">
        <f>L7/N7</f>
        <v>2.0333333333333332</v>
      </c>
      <c r="P7" s="148">
        <f t="shared" ref="P7" si="0">M7/N7</f>
        <v>0</v>
      </c>
      <c r="Q7" s="145">
        <v>0</v>
      </c>
      <c r="R7" s="184" t="str">
        <f>INDEX('Base Ijuí'!$K$7:$K$25,MATCH('Desl. Base Ijuí'!C7,'Base Ijuí'!$B$7:$B$25,0))</f>
        <v>SIM</v>
      </c>
      <c r="S7" s="184">
        <v>1</v>
      </c>
    </row>
    <row r="8" spans="2:19" ht="15.95" customHeight="1">
      <c r="B8" s="247"/>
      <c r="C8" s="135" t="s">
        <v>90</v>
      </c>
      <c r="D8" s="239"/>
      <c r="E8" s="239"/>
      <c r="F8" s="239"/>
      <c r="G8" s="240"/>
      <c r="H8" s="243"/>
      <c r="I8" s="243"/>
      <c r="J8" s="243"/>
      <c r="K8" s="244"/>
      <c r="L8" s="246"/>
      <c r="M8" s="241"/>
      <c r="N8" s="248"/>
      <c r="O8" s="142">
        <f>O7</f>
        <v>2.0333333333333332</v>
      </c>
      <c r="P8" s="149">
        <f>P7</f>
        <v>0</v>
      </c>
      <c r="Q8" s="146">
        <f>Q7</f>
        <v>0</v>
      </c>
      <c r="R8" s="184" t="str">
        <f>INDEX('Base Ijuí'!$K$7:$K$25,MATCH('Desl. Base Ijuí'!C8,'Base Ijuí'!$B$7:$B$25,0))</f>
        <v>SIM</v>
      </c>
      <c r="S8" s="184">
        <v>1</v>
      </c>
    </row>
    <row r="9" spans="2:19" ht="15.95" customHeight="1">
      <c r="B9" s="237">
        <v>4</v>
      </c>
      <c r="C9" s="135" t="s">
        <v>96</v>
      </c>
      <c r="D9" s="239">
        <v>44.4</v>
      </c>
      <c r="E9" s="239">
        <f>102-D9</f>
        <v>57.6</v>
      </c>
      <c r="F9" s="239">
        <v>106</v>
      </c>
      <c r="G9" s="240">
        <f t="shared" ref="G9" si="1">SUM(D9:F10)</f>
        <v>208</v>
      </c>
      <c r="H9" s="243">
        <v>45</v>
      </c>
      <c r="I9" s="243">
        <f>95-H9</f>
        <v>50</v>
      </c>
      <c r="J9" s="243">
        <v>92</v>
      </c>
      <c r="K9" s="244">
        <f t="shared" ref="K9" si="2">SUM(H9:J10)</f>
        <v>187</v>
      </c>
      <c r="L9" s="245">
        <f t="shared" ref="L9" si="3">K9/60</f>
        <v>3.1166666666666667</v>
      </c>
      <c r="M9" s="241">
        <v>0</v>
      </c>
      <c r="N9" s="242">
        <v>2</v>
      </c>
      <c r="O9" s="150">
        <f t="shared" ref="O9" si="4">L9/N9</f>
        <v>1.5583333333333333</v>
      </c>
      <c r="P9" s="145">
        <f t="shared" ref="P9" si="5">M9/N9</f>
        <v>0</v>
      </c>
      <c r="Q9" s="145">
        <v>0</v>
      </c>
      <c r="R9" s="184" t="str">
        <f>INDEX('Base Ijuí'!$K$7:$K$25,MATCH('Desl. Base Ijuí'!C9,'Base Ijuí'!$B$7:$B$25,0))</f>
        <v>SIM</v>
      </c>
      <c r="S9" s="184">
        <v>1</v>
      </c>
    </row>
    <row r="10" spans="2:19" ht="15.95" customHeight="1">
      <c r="B10" s="238"/>
      <c r="C10" s="135" t="s">
        <v>97</v>
      </c>
      <c r="D10" s="239"/>
      <c r="E10" s="239"/>
      <c r="F10" s="239"/>
      <c r="G10" s="240"/>
      <c r="H10" s="243"/>
      <c r="I10" s="243"/>
      <c r="J10" s="243"/>
      <c r="K10" s="244"/>
      <c r="L10" s="246"/>
      <c r="M10" s="241">
        <v>0</v>
      </c>
      <c r="N10" s="242"/>
      <c r="O10" s="142">
        <f>O9</f>
        <v>1.5583333333333333</v>
      </c>
      <c r="P10" s="146">
        <f>P9</f>
        <v>0</v>
      </c>
      <c r="Q10" s="146">
        <f>Q9</f>
        <v>0</v>
      </c>
      <c r="R10" s="184" t="str">
        <f>INDEX('Base Ijuí'!$K$7:$K$25,MATCH('Desl. Base Ijuí'!C10,'Base Ijuí'!$B$7:$B$25,0))</f>
        <v>SIM</v>
      </c>
      <c r="S10" s="184">
        <v>1</v>
      </c>
    </row>
    <row r="11" spans="2:19" ht="15.95" customHeight="1">
      <c r="B11" s="247">
        <v>5</v>
      </c>
      <c r="C11" s="135" t="s">
        <v>79</v>
      </c>
      <c r="D11" s="239">
        <v>169</v>
      </c>
      <c r="E11" s="239">
        <f>237-D11</f>
        <v>68</v>
      </c>
      <c r="F11" s="239">
        <v>103</v>
      </c>
      <c r="G11" s="240">
        <f t="shared" ref="G11" si="6">SUM(D11:F12)</f>
        <v>340</v>
      </c>
      <c r="H11" s="243">
        <v>142</v>
      </c>
      <c r="I11" s="243">
        <f>210-H11</f>
        <v>68</v>
      </c>
      <c r="J11" s="243">
        <v>89</v>
      </c>
      <c r="K11" s="244">
        <f t="shared" ref="K11" si="7">SUM(H11:J12)</f>
        <v>299</v>
      </c>
      <c r="L11" s="245">
        <f t="shared" ref="L11" si="8">K11/60</f>
        <v>4.9833333333333334</v>
      </c>
      <c r="M11" s="241">
        <v>0</v>
      </c>
      <c r="N11" s="242">
        <v>2</v>
      </c>
      <c r="O11" s="139">
        <f t="shared" ref="O11" si="9">L11/N11</f>
        <v>2.4916666666666667</v>
      </c>
      <c r="P11" s="145">
        <f t="shared" ref="P11" si="10">M11/N11</f>
        <v>0</v>
      </c>
      <c r="Q11" s="145">
        <v>0</v>
      </c>
      <c r="R11" s="184" t="str">
        <f>INDEX('Base Ijuí'!$K$7:$K$25,MATCH('Desl. Base Ijuí'!C11,'Base Ijuí'!$B$7:$B$25,0))</f>
        <v>SIM</v>
      </c>
      <c r="S11" s="184">
        <v>1</v>
      </c>
    </row>
    <row r="12" spans="2:19" ht="15.95" customHeight="1">
      <c r="B12" s="247"/>
      <c r="C12" s="135" t="s">
        <v>83</v>
      </c>
      <c r="D12" s="239"/>
      <c r="E12" s="239"/>
      <c r="F12" s="239"/>
      <c r="G12" s="240"/>
      <c r="H12" s="243"/>
      <c r="I12" s="243"/>
      <c r="J12" s="243"/>
      <c r="K12" s="244"/>
      <c r="L12" s="246"/>
      <c r="M12" s="241"/>
      <c r="N12" s="242"/>
      <c r="O12" s="142">
        <f>O11</f>
        <v>2.4916666666666667</v>
      </c>
      <c r="P12" s="146">
        <f>P11</f>
        <v>0</v>
      </c>
      <c r="Q12" s="146">
        <f>Q11</f>
        <v>0</v>
      </c>
      <c r="R12" s="184" t="str">
        <f>INDEX('Base Ijuí'!$K$7:$K$25,MATCH('Desl. Base Ijuí'!C12,'Base Ijuí'!$B$7:$B$25,0))</f>
        <v>SIM</v>
      </c>
      <c r="S12" s="184">
        <v>1</v>
      </c>
    </row>
    <row r="13" spans="2:19" ht="15.95" customHeight="1">
      <c r="B13" s="237">
        <v>6</v>
      </c>
      <c r="C13" s="135" t="s">
        <v>82</v>
      </c>
      <c r="D13" s="239">
        <v>98</v>
      </c>
      <c r="E13" s="239">
        <v>23</v>
      </c>
      <c r="F13" s="239">
        <v>79.2</v>
      </c>
      <c r="G13" s="240">
        <f t="shared" ref="G13" si="11">SUM(D13:F14)</f>
        <v>200.2</v>
      </c>
      <c r="H13" s="243">
        <v>82</v>
      </c>
      <c r="I13" s="243">
        <v>26</v>
      </c>
      <c r="J13" s="243">
        <v>65</v>
      </c>
      <c r="K13" s="244">
        <f t="shared" ref="K13" si="12">SUM(H13:J14)</f>
        <v>173</v>
      </c>
      <c r="L13" s="245">
        <f t="shared" ref="L13" si="13">K13/60</f>
        <v>2.8833333333333333</v>
      </c>
      <c r="M13" s="241">
        <v>0</v>
      </c>
      <c r="N13" s="242">
        <v>2</v>
      </c>
      <c r="O13" s="139">
        <f t="shared" ref="O13" si="14">L13/N13</f>
        <v>1.4416666666666667</v>
      </c>
      <c r="P13" s="145">
        <f t="shared" ref="P13" si="15">M13/N13</f>
        <v>0</v>
      </c>
      <c r="Q13" s="145">
        <v>0</v>
      </c>
      <c r="R13" s="184" t="str">
        <f>INDEX('Base Ijuí'!$K$7:$K$25,MATCH('Desl. Base Ijuí'!C13,'Base Ijuí'!$B$7:$B$25,0))</f>
        <v>SIM</v>
      </c>
      <c r="S13" s="184">
        <v>1</v>
      </c>
    </row>
    <row r="14" spans="2:19" ht="15.95" customHeight="1">
      <c r="B14" s="238"/>
      <c r="C14" s="135" t="s">
        <v>92</v>
      </c>
      <c r="D14" s="239"/>
      <c r="E14" s="239"/>
      <c r="F14" s="239"/>
      <c r="G14" s="240"/>
      <c r="H14" s="243"/>
      <c r="I14" s="243"/>
      <c r="J14" s="243"/>
      <c r="K14" s="244"/>
      <c r="L14" s="246"/>
      <c r="M14" s="241"/>
      <c r="N14" s="242"/>
      <c r="O14" s="142">
        <f>O13</f>
        <v>1.4416666666666667</v>
      </c>
      <c r="P14" s="146">
        <f>P13</f>
        <v>0</v>
      </c>
      <c r="Q14" s="146">
        <f>Q13</f>
        <v>0</v>
      </c>
      <c r="R14" s="184" t="str">
        <f>INDEX('Base Ijuí'!$K$7:$K$25,MATCH('Desl. Base Ijuí'!C14,'Base Ijuí'!$B$7:$B$25,0))</f>
        <v>SIM</v>
      </c>
      <c r="S14" s="184">
        <v>1</v>
      </c>
    </row>
    <row r="15" spans="2:19" ht="15.95" customHeight="1">
      <c r="B15" s="237">
        <v>7</v>
      </c>
      <c r="C15" s="135" t="s">
        <v>81</v>
      </c>
      <c r="D15" s="239">
        <v>79.7</v>
      </c>
      <c r="E15" s="239">
        <f>115-D15</f>
        <v>35.299999999999997</v>
      </c>
      <c r="F15" s="239">
        <v>46.3</v>
      </c>
      <c r="G15" s="240">
        <f t="shared" ref="G15" si="16">SUM(D15:F16)</f>
        <v>161.30000000000001</v>
      </c>
      <c r="H15" s="243">
        <v>74</v>
      </c>
      <c r="I15" s="243">
        <f>109-H15</f>
        <v>35</v>
      </c>
      <c r="J15" s="243">
        <v>50</v>
      </c>
      <c r="K15" s="244">
        <f t="shared" ref="K15" si="17">SUM(H15:J16)</f>
        <v>159</v>
      </c>
      <c r="L15" s="245">
        <f t="shared" ref="L15" si="18">K15/60</f>
        <v>2.65</v>
      </c>
      <c r="M15" s="241">
        <v>0</v>
      </c>
      <c r="N15" s="242">
        <v>2</v>
      </c>
      <c r="O15" s="139">
        <f t="shared" ref="O15" si="19">L15/N15</f>
        <v>1.325</v>
      </c>
      <c r="P15" s="145">
        <f t="shared" ref="P15" si="20">M15/N15</f>
        <v>0</v>
      </c>
      <c r="Q15" s="145">
        <v>0</v>
      </c>
      <c r="R15" s="184" t="str">
        <f>INDEX('Base Ijuí'!$K$7:$K$25,MATCH('Desl. Base Ijuí'!C15,'Base Ijuí'!$B$7:$B$25,0))</f>
        <v>SIM</v>
      </c>
      <c r="S15" s="184">
        <v>1</v>
      </c>
    </row>
    <row r="16" spans="2:19" ht="15.95" customHeight="1">
      <c r="B16" s="238"/>
      <c r="C16" s="135" t="s">
        <v>94</v>
      </c>
      <c r="D16" s="239"/>
      <c r="E16" s="239"/>
      <c r="F16" s="239"/>
      <c r="G16" s="240"/>
      <c r="H16" s="243"/>
      <c r="I16" s="243"/>
      <c r="J16" s="243"/>
      <c r="K16" s="244"/>
      <c r="L16" s="246"/>
      <c r="M16" s="241"/>
      <c r="N16" s="242"/>
      <c r="O16" s="142">
        <f>O15</f>
        <v>1.325</v>
      </c>
      <c r="P16" s="146">
        <f>P15</f>
        <v>0</v>
      </c>
      <c r="Q16" s="146">
        <f>Q15</f>
        <v>0</v>
      </c>
      <c r="R16" s="184" t="str">
        <f>INDEX('Base Ijuí'!$K$7:$K$25,MATCH('Desl. Base Ijuí'!C16,'Base Ijuí'!$B$7:$B$25,0))</f>
        <v>SIM</v>
      </c>
      <c r="S16" s="184">
        <v>1</v>
      </c>
    </row>
    <row r="17" spans="2:19" ht="15.95" customHeight="1">
      <c r="B17" s="237">
        <v>8</v>
      </c>
      <c r="C17" s="135" t="s">
        <v>86</v>
      </c>
      <c r="D17" s="239">
        <v>174</v>
      </c>
      <c r="E17" s="239">
        <v>63.7</v>
      </c>
      <c r="F17" s="239">
        <v>101</v>
      </c>
      <c r="G17" s="240">
        <f t="shared" ref="G17" si="21">SUM(D17:F18)</f>
        <v>338.7</v>
      </c>
      <c r="H17" s="243">
        <v>140</v>
      </c>
      <c r="I17" s="243">
        <v>55</v>
      </c>
      <c r="J17" s="243">
        <v>92</v>
      </c>
      <c r="K17" s="244">
        <f t="shared" ref="K17" si="22">SUM(H17:J18)</f>
        <v>287</v>
      </c>
      <c r="L17" s="245">
        <f t="shared" ref="L17" si="23">K17/60</f>
        <v>4.7833333333333332</v>
      </c>
      <c r="M17" s="241">
        <v>0</v>
      </c>
      <c r="N17" s="242">
        <v>2</v>
      </c>
      <c r="O17" s="139">
        <f t="shared" ref="O17" si="24">L17/N17</f>
        <v>2.3916666666666666</v>
      </c>
      <c r="P17" s="145">
        <f t="shared" ref="P17" si="25">M17/N17</f>
        <v>0</v>
      </c>
      <c r="Q17" s="145">
        <v>0</v>
      </c>
      <c r="R17" s="184" t="str">
        <f>INDEX('Base Ijuí'!$K$7:$K$25,MATCH('Desl. Base Ijuí'!C17,'Base Ijuí'!$B$7:$B$25,0))</f>
        <v>SIM</v>
      </c>
      <c r="S17" s="184">
        <v>1</v>
      </c>
    </row>
    <row r="18" spans="2:19" ht="15.95" customHeight="1">
      <c r="B18" s="238"/>
      <c r="C18" s="135" t="s">
        <v>88</v>
      </c>
      <c r="D18" s="239"/>
      <c r="E18" s="239"/>
      <c r="F18" s="239"/>
      <c r="G18" s="240"/>
      <c r="H18" s="243"/>
      <c r="I18" s="243"/>
      <c r="J18" s="243"/>
      <c r="K18" s="244"/>
      <c r="L18" s="246"/>
      <c r="M18" s="241"/>
      <c r="N18" s="242"/>
      <c r="O18" s="142">
        <f>O17</f>
        <v>2.3916666666666666</v>
      </c>
      <c r="P18" s="146">
        <f>P17</f>
        <v>0</v>
      </c>
      <c r="Q18" s="146">
        <f>Q17</f>
        <v>0</v>
      </c>
      <c r="R18" s="184" t="str">
        <f>INDEX('Base Ijuí'!$K$7:$K$25,MATCH('Desl. Base Ijuí'!C18,'Base Ijuí'!$B$7:$B$25,0))</f>
        <v>SIM</v>
      </c>
      <c r="S18" s="184">
        <v>1</v>
      </c>
    </row>
    <row r="19" spans="2:19" ht="15.95" customHeight="1">
      <c r="B19" s="143">
        <v>9</v>
      </c>
      <c r="C19" s="135" t="s">
        <v>93</v>
      </c>
      <c r="D19" s="136">
        <v>121</v>
      </c>
      <c r="E19" s="136">
        <v>121</v>
      </c>
      <c r="F19" s="136">
        <v>0</v>
      </c>
      <c r="G19" s="137">
        <f>SUM(D19:F19)</f>
        <v>242</v>
      </c>
      <c r="H19" s="147">
        <v>95</v>
      </c>
      <c r="I19" s="147">
        <v>96</v>
      </c>
      <c r="J19" s="147">
        <v>0</v>
      </c>
      <c r="K19" s="138">
        <f>SUM(H19:J19)</f>
        <v>191</v>
      </c>
      <c r="L19" s="144">
        <f t="shared" ref="L19:L20" si="26">K19/60</f>
        <v>3.1833333333333331</v>
      </c>
      <c r="M19" s="140">
        <v>0</v>
      </c>
      <c r="N19" s="141">
        <v>1</v>
      </c>
      <c r="O19" s="144">
        <f t="shared" ref="O19:O20" si="27">L19/N19</f>
        <v>3.1833333333333331</v>
      </c>
      <c r="P19" s="140">
        <v>0</v>
      </c>
      <c r="Q19" s="140">
        <v>0</v>
      </c>
      <c r="R19" s="184" t="str">
        <f>INDEX('Base Ijuí'!$K$7:$K$25,MATCH('Desl. Base Ijuí'!C19,'Base Ijuí'!$B$7:$B$25,0))</f>
        <v>SIM</v>
      </c>
      <c r="S19" s="184">
        <v>1</v>
      </c>
    </row>
    <row r="20" spans="2:19" ht="15.95" customHeight="1">
      <c r="B20" s="237">
        <v>10</v>
      </c>
      <c r="C20" s="135" t="s">
        <v>99</v>
      </c>
      <c r="D20" s="239">
        <v>217</v>
      </c>
      <c r="E20" s="239">
        <v>91.5</v>
      </c>
      <c r="F20" s="239">
        <v>303</v>
      </c>
      <c r="G20" s="240">
        <f t="shared" ref="G20" si="28">SUM(D20:F21)</f>
        <v>611.5</v>
      </c>
      <c r="H20" s="243">
        <v>174</v>
      </c>
      <c r="I20" s="243">
        <v>77</v>
      </c>
      <c r="J20" s="243">
        <v>238</v>
      </c>
      <c r="K20" s="244">
        <f t="shared" ref="K20" si="29">SUM(H20:J21)</f>
        <v>489</v>
      </c>
      <c r="L20" s="245">
        <f t="shared" si="26"/>
        <v>8.15</v>
      </c>
      <c r="M20" s="241">
        <v>0</v>
      </c>
      <c r="N20" s="242">
        <v>2</v>
      </c>
      <c r="O20" s="139">
        <f t="shared" si="27"/>
        <v>4.0750000000000002</v>
      </c>
      <c r="P20" s="145">
        <f t="shared" ref="P20" si="30">M20/N20</f>
        <v>0</v>
      </c>
      <c r="Q20" s="145">
        <f>E44/N20</f>
        <v>66.37</v>
      </c>
      <c r="R20" s="184" t="str">
        <f>INDEX('Base Ijuí'!$K$7:$K$25,MATCH('Desl. Base Ijuí'!C20,'Base Ijuí'!$B$7:$B$25,0))</f>
        <v>NÃO</v>
      </c>
      <c r="S20" s="184">
        <v>1</v>
      </c>
    </row>
    <row r="21" spans="2:19" ht="15.95" customHeight="1">
      <c r="B21" s="238"/>
      <c r="C21" s="135" t="s">
        <v>98</v>
      </c>
      <c r="D21" s="239"/>
      <c r="E21" s="239"/>
      <c r="F21" s="239"/>
      <c r="G21" s="240"/>
      <c r="H21" s="243"/>
      <c r="I21" s="243"/>
      <c r="J21" s="243"/>
      <c r="K21" s="244"/>
      <c r="L21" s="246"/>
      <c r="M21" s="241"/>
      <c r="N21" s="242"/>
      <c r="O21" s="142">
        <f>O20</f>
        <v>4.0750000000000002</v>
      </c>
      <c r="P21" s="146">
        <f>P20</f>
        <v>0</v>
      </c>
      <c r="Q21" s="146">
        <f>Q20</f>
        <v>66.37</v>
      </c>
      <c r="R21" s="184" t="str">
        <f>INDEX('Base Ijuí'!$K$7:$K$25,MATCH('Desl. Base Ijuí'!C21,'Base Ijuí'!$B$7:$B$25,0))</f>
        <v>SIM</v>
      </c>
      <c r="S21" s="184">
        <v>1</v>
      </c>
    </row>
    <row r="22" spans="2:19" ht="15.95" customHeight="1">
      <c r="B22" s="237">
        <v>11</v>
      </c>
      <c r="C22" s="135" t="s">
        <v>100</v>
      </c>
      <c r="D22" s="239">
        <v>117</v>
      </c>
      <c r="E22" s="239">
        <v>25</v>
      </c>
      <c r="F22" s="239">
        <v>115</v>
      </c>
      <c r="G22" s="240">
        <f t="shared" ref="G22" si="31">SUM(D22:F23)</f>
        <v>257</v>
      </c>
      <c r="H22" s="243">
        <v>104</v>
      </c>
      <c r="I22" s="243">
        <v>29</v>
      </c>
      <c r="J22" s="243">
        <v>101</v>
      </c>
      <c r="K22" s="244">
        <f t="shared" ref="K22" si="32">SUM(H22:J23)</f>
        <v>234</v>
      </c>
      <c r="L22" s="245">
        <f t="shared" ref="L22" si="33">K22/60</f>
        <v>3.9</v>
      </c>
      <c r="M22" s="241">
        <v>0</v>
      </c>
      <c r="N22" s="242">
        <v>2</v>
      </c>
      <c r="O22" s="139">
        <f t="shared" ref="O22" si="34">L22/N22</f>
        <v>1.95</v>
      </c>
      <c r="P22" s="145">
        <f t="shared" ref="P22" si="35">M22/N22</f>
        <v>0</v>
      </c>
      <c r="Q22" s="145">
        <v>0</v>
      </c>
      <c r="R22" s="184" t="str">
        <f>INDEX('Base Ijuí'!$K$7:$K$25,MATCH('Desl. Base Ijuí'!C22,'Base Ijuí'!$B$7:$B$25,0))</f>
        <v>SIM</v>
      </c>
      <c r="S22" s="184">
        <v>1</v>
      </c>
    </row>
    <row r="23" spans="2:19" ht="15.95" customHeight="1">
      <c r="B23" s="238"/>
      <c r="C23" s="135" t="s">
        <v>101</v>
      </c>
      <c r="D23" s="239"/>
      <c r="E23" s="239"/>
      <c r="F23" s="239"/>
      <c r="G23" s="240"/>
      <c r="H23" s="243"/>
      <c r="I23" s="243"/>
      <c r="J23" s="243"/>
      <c r="K23" s="244"/>
      <c r="L23" s="246"/>
      <c r="M23" s="241"/>
      <c r="N23" s="242"/>
      <c r="O23" s="142">
        <f>O22</f>
        <v>1.95</v>
      </c>
      <c r="P23" s="146">
        <f>P22</f>
        <v>0</v>
      </c>
      <c r="Q23" s="146">
        <f>Q22</f>
        <v>0</v>
      </c>
      <c r="R23" s="184" t="str">
        <f>INDEX('Base Ijuí'!$K$7:$K$25,MATCH('Desl. Base Ijuí'!C23,'Base Ijuí'!$B$7:$B$25,0))</f>
        <v>SIM</v>
      </c>
      <c r="S23" s="184">
        <v>1</v>
      </c>
    </row>
    <row r="24" spans="2:19" ht="20.100000000000001" customHeight="1">
      <c r="B24" s="257" t="s">
        <v>102</v>
      </c>
      <c r="C24" s="258"/>
      <c r="D24" s="258"/>
      <c r="E24" s="258"/>
      <c r="F24" s="259"/>
      <c r="G24" s="89">
        <f>SUM(G5:G23)</f>
        <v>2713.3</v>
      </c>
      <c r="H24" s="260" t="s">
        <v>102</v>
      </c>
      <c r="I24" s="260"/>
      <c r="J24" s="260"/>
      <c r="K24" s="89">
        <f t="shared" ref="K24:Q24" si="36">SUM(K5:K23)</f>
        <v>2362</v>
      </c>
      <c r="L24" s="91">
        <f t="shared" si="36"/>
        <v>39.366666666666667</v>
      </c>
      <c r="M24" s="90">
        <f t="shared" si="36"/>
        <v>0</v>
      </c>
      <c r="N24" s="92">
        <f t="shared" si="36"/>
        <v>19</v>
      </c>
      <c r="O24" s="91"/>
      <c r="P24" s="90"/>
      <c r="Q24" s="90">
        <f t="shared" si="36"/>
        <v>132.74</v>
      </c>
      <c r="R24" s="90"/>
      <c r="S24" s="90"/>
    </row>
    <row r="25" spans="2:19" ht="17.100000000000001" customHeight="1">
      <c r="B25" s="38"/>
      <c r="C25" s="38"/>
      <c r="D25" s="38"/>
      <c r="E25" s="38"/>
      <c r="F25" s="38"/>
    </row>
    <row r="26" spans="2:19" ht="18.75" customHeight="1">
      <c r="B26" s="261" t="s">
        <v>118</v>
      </c>
      <c r="C26" s="261"/>
      <c r="D26" s="261"/>
      <c r="E26" s="261"/>
      <c r="F26" s="38"/>
      <c r="G26" s="38"/>
      <c r="H26" s="38"/>
      <c r="I26" s="38"/>
      <c r="J26" s="38"/>
      <c r="K26" s="38"/>
      <c r="L26" s="38"/>
      <c r="M26" s="38"/>
      <c r="N26" s="39"/>
      <c r="O26" s="39"/>
    </row>
    <row r="27" spans="2:19" ht="18.75" customHeight="1">
      <c r="B27" s="100" t="s">
        <v>119</v>
      </c>
      <c r="C27" s="100" t="s">
        <v>120</v>
      </c>
      <c r="D27" s="100" t="s">
        <v>121</v>
      </c>
      <c r="E27" s="100" t="s">
        <v>122</v>
      </c>
      <c r="F27" s="38"/>
      <c r="G27" s="38"/>
      <c r="H27" s="39"/>
      <c r="I27" s="39"/>
      <c r="J27" s="38"/>
      <c r="K27" s="38"/>
      <c r="L27" s="38"/>
      <c r="M27" s="38"/>
      <c r="N27" s="39"/>
      <c r="O27" s="39"/>
    </row>
    <row r="28" spans="2:19" ht="18.75" customHeight="1">
      <c r="B28" s="94" t="s">
        <v>123</v>
      </c>
      <c r="C28" s="93" t="s">
        <v>124</v>
      </c>
      <c r="D28" s="94" t="s">
        <v>125</v>
      </c>
      <c r="E28" s="95">
        <f>'Comp. Veículo'!D11</f>
        <v>50.55</v>
      </c>
      <c r="F28" s="38"/>
      <c r="G28" s="38"/>
      <c r="H28" s="40"/>
      <c r="I28" s="40"/>
      <c r="J28" s="38"/>
      <c r="K28" s="38"/>
      <c r="L28" s="38"/>
      <c r="M28" s="38"/>
      <c r="N28" s="39"/>
      <c r="O28" s="39"/>
    </row>
    <row r="29" spans="2:19" ht="18.75" customHeight="1">
      <c r="B29" s="97" t="s">
        <v>126</v>
      </c>
      <c r="C29" s="98" t="s">
        <v>124</v>
      </c>
      <c r="D29" s="97" t="s">
        <v>127</v>
      </c>
      <c r="E29" s="99">
        <f>'Comp. Veículo'!D27</f>
        <v>6.95</v>
      </c>
      <c r="F29" s="38"/>
      <c r="G29" s="38"/>
      <c r="H29" s="40"/>
      <c r="I29" s="40"/>
      <c r="J29" s="38"/>
      <c r="K29" s="38"/>
      <c r="L29" s="38"/>
      <c r="M29" s="38"/>
      <c r="N29" s="39"/>
      <c r="O29" s="39"/>
    </row>
    <row r="30" spans="2:19" ht="47.25" customHeight="1">
      <c r="B30" s="253" t="s">
        <v>128</v>
      </c>
      <c r="C30" s="253"/>
      <c r="D30" s="253"/>
      <c r="E30" s="253"/>
      <c r="F30" s="96"/>
      <c r="G30" s="96"/>
      <c r="H30" s="96"/>
      <c r="I30" s="96"/>
      <c r="J30" s="96"/>
      <c r="K30" s="96"/>
      <c r="L30" s="96"/>
      <c r="M30" s="38"/>
      <c r="N30" s="39"/>
      <c r="O30" s="39"/>
    </row>
    <row r="31" spans="2:19" ht="16.5" customHeight="1">
      <c r="B31" s="54"/>
      <c r="C31" s="54"/>
      <c r="D31" s="54"/>
      <c r="E31" s="54"/>
      <c r="F31" s="96"/>
      <c r="G31" s="96"/>
      <c r="H31" s="96"/>
      <c r="I31" s="96"/>
      <c r="J31" s="96"/>
      <c r="K31" s="96"/>
      <c r="L31" s="96"/>
      <c r="M31" s="38"/>
      <c r="N31" s="39"/>
      <c r="O31" s="39"/>
    </row>
    <row r="32" spans="2:19" ht="17.100000000000001" customHeight="1">
      <c r="B32" s="254" t="s">
        <v>129</v>
      </c>
      <c r="C32" s="255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9"/>
      <c r="O32" s="39"/>
    </row>
    <row r="33" spans="2:15" ht="17.100000000000001" customHeight="1">
      <c r="B33" s="94" t="s">
        <v>125</v>
      </c>
      <c r="C33" s="95">
        <f>E28*L24</f>
        <v>1989.9849999999999</v>
      </c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9"/>
      <c r="O33" s="39"/>
    </row>
    <row r="34" spans="2:15" ht="17.100000000000001" customHeight="1">
      <c r="B34" s="94" t="s">
        <v>127</v>
      </c>
      <c r="C34" s="95">
        <f>E29*('Base Ijuí'!N26/12)</f>
        <v>445.58187499999997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9"/>
      <c r="O34" s="39"/>
    </row>
    <row r="35" spans="2:15" ht="17.100000000000001" customHeight="1">
      <c r="B35" s="102" t="s">
        <v>25</v>
      </c>
      <c r="C35" s="101">
        <f>C33+C34</f>
        <v>2435.566875</v>
      </c>
      <c r="D35" s="38"/>
      <c r="E35" s="38"/>
      <c r="F35" s="38"/>
      <c r="G35" s="38"/>
      <c r="H35" s="38"/>
      <c r="I35" s="38"/>
      <c r="M35" s="38"/>
      <c r="N35" s="39"/>
      <c r="O35" s="39"/>
    </row>
    <row r="36" spans="2:15" ht="17.100000000000001" customHeight="1">
      <c r="B36" s="38"/>
      <c r="C36" s="41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9"/>
      <c r="O36" s="39"/>
    </row>
    <row r="37" spans="2:15" ht="17.100000000000001" customHeight="1">
      <c r="B37" s="256" t="s">
        <v>130</v>
      </c>
      <c r="C37" s="256"/>
      <c r="D37" s="38"/>
      <c r="J37" s="38"/>
      <c r="K37" s="38"/>
      <c r="L37" s="38"/>
      <c r="M37" s="38"/>
      <c r="N37" s="39"/>
      <c r="O37" s="39"/>
    </row>
    <row r="38" spans="2:15" ht="17.100000000000001" customHeight="1">
      <c r="B38" s="116" t="s">
        <v>122</v>
      </c>
      <c r="C38" s="103">
        <f>SUM(M5:M23)</f>
        <v>0</v>
      </c>
      <c r="J38" s="38"/>
      <c r="K38" s="38"/>
      <c r="L38" s="38"/>
      <c r="M38" s="38"/>
      <c r="N38" s="39"/>
      <c r="O38" s="39"/>
    </row>
    <row r="39" spans="2:15" ht="17.100000000000001" customHeight="1">
      <c r="B39" s="38"/>
      <c r="C39" s="42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9"/>
      <c r="O39" s="39"/>
    </row>
    <row r="40" spans="2:15">
      <c r="B40" s="251" t="s">
        <v>131</v>
      </c>
      <c r="C40" s="252"/>
    </row>
    <row r="42" spans="2:15" ht="17.100000000000001" customHeight="1">
      <c r="B42" s="249" t="s">
        <v>63</v>
      </c>
      <c r="C42" s="249"/>
      <c r="D42" s="249"/>
      <c r="E42" s="249"/>
    </row>
    <row r="43" spans="2:15" ht="17.100000000000001" customHeight="1">
      <c r="B43" s="185" t="s">
        <v>282</v>
      </c>
      <c r="C43" s="185" t="s">
        <v>120</v>
      </c>
      <c r="D43" s="185" t="s">
        <v>121</v>
      </c>
      <c r="E43" s="185" t="s">
        <v>122</v>
      </c>
    </row>
    <row r="44" spans="2:15" ht="27.75" customHeight="1">
      <c r="B44" s="97" t="s">
        <v>283</v>
      </c>
      <c r="C44" s="186" t="s">
        <v>284</v>
      </c>
      <c r="D44" s="97" t="s">
        <v>285</v>
      </c>
      <c r="E44" s="187">
        <v>132.74</v>
      </c>
    </row>
    <row r="45" spans="2:15" ht="21" customHeight="1">
      <c r="B45" s="250" t="s">
        <v>286</v>
      </c>
      <c r="C45" s="250"/>
      <c r="D45" s="250"/>
      <c r="E45" s="250"/>
    </row>
  </sheetData>
  <mergeCells count="106">
    <mergeCell ref="B40:C40"/>
    <mergeCell ref="L20:L21"/>
    <mergeCell ref="M20:M21"/>
    <mergeCell ref="B30:E30"/>
    <mergeCell ref="B32:C32"/>
    <mergeCell ref="B37:C37"/>
    <mergeCell ref="B24:F24"/>
    <mergeCell ref="H24:J24"/>
    <mergeCell ref="B26:E26"/>
    <mergeCell ref="B42:E42"/>
    <mergeCell ref="B45:E45"/>
    <mergeCell ref="N20:N21"/>
    <mergeCell ref="B22:B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B20:B21"/>
    <mergeCell ref="D20:D21"/>
    <mergeCell ref="E20:E21"/>
    <mergeCell ref="F20:F21"/>
    <mergeCell ref="G20:G21"/>
    <mergeCell ref="H20:H21"/>
    <mergeCell ref="I20:I21"/>
    <mergeCell ref="J20:J21"/>
    <mergeCell ref="K20:K21"/>
    <mergeCell ref="B9:B10"/>
    <mergeCell ref="D9:D10"/>
    <mergeCell ref="B2:Q2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D11:D12"/>
    <mergeCell ref="E11:E12"/>
    <mergeCell ref="F11:F12"/>
    <mergeCell ref="G11:G12"/>
    <mergeCell ref="H11:H12"/>
    <mergeCell ref="I11:I12"/>
    <mergeCell ref="J11:J12"/>
    <mergeCell ref="H9:H10"/>
    <mergeCell ref="I9:I10"/>
    <mergeCell ref="J9:J10"/>
    <mergeCell ref="B13:B14"/>
    <mergeCell ref="D13:D14"/>
    <mergeCell ref="E13:E14"/>
    <mergeCell ref="F13:F14"/>
    <mergeCell ref="G13:G14"/>
    <mergeCell ref="M9:M10"/>
    <mergeCell ref="N9:N10"/>
    <mergeCell ref="K11:K12"/>
    <mergeCell ref="L11:L12"/>
    <mergeCell ref="M11:M12"/>
    <mergeCell ref="N11:N12"/>
    <mergeCell ref="K9:K10"/>
    <mergeCell ref="L9:L10"/>
    <mergeCell ref="E9:E10"/>
    <mergeCell ref="F9:F10"/>
    <mergeCell ref="G9:G10"/>
    <mergeCell ref="M13:M14"/>
    <mergeCell ref="N13:N14"/>
    <mergeCell ref="H13:H14"/>
    <mergeCell ref="I13:I14"/>
    <mergeCell ref="J13:J14"/>
    <mergeCell ref="K13:K14"/>
    <mergeCell ref="L13:L14"/>
    <mergeCell ref="B11:B12"/>
    <mergeCell ref="B17:B18"/>
    <mergeCell ref="D17:D18"/>
    <mergeCell ref="E17:E18"/>
    <mergeCell ref="F17:F18"/>
    <mergeCell ref="G17:G18"/>
    <mergeCell ref="M15:M16"/>
    <mergeCell ref="N15:N16"/>
    <mergeCell ref="M17:M18"/>
    <mergeCell ref="N17:N18"/>
    <mergeCell ref="H17:H18"/>
    <mergeCell ref="I17:I18"/>
    <mergeCell ref="J17:J18"/>
    <mergeCell ref="K17:K18"/>
    <mergeCell ref="L17:L18"/>
    <mergeCell ref="H15:H16"/>
    <mergeCell ref="I15:I16"/>
    <mergeCell ref="J15:J16"/>
    <mergeCell ref="K15:K16"/>
    <mergeCell ref="L15:L16"/>
    <mergeCell ref="B15:B16"/>
    <mergeCell ref="D15:D16"/>
    <mergeCell ref="E15:E16"/>
    <mergeCell ref="F15:F16"/>
    <mergeCell ref="G15:G16"/>
  </mergeCells>
  <printOptions horizontalCentered="1" verticalCentered="1"/>
  <pageMargins left="0.78749999999999998" right="0.78749999999999998" top="0.196527777777778" bottom="0.196527777777778" header="0.51180555555555496" footer="0.51180555555555496"/>
  <pageSetup paperSize="9" pageOrder="overThenDown" orientation="portrait" useFirstPageNumber="1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0A061-8709-47E1-87EE-BEF8416C1FEE}">
  <sheetPr>
    <tabColor theme="0"/>
  </sheetPr>
  <dimension ref="B1:F16"/>
  <sheetViews>
    <sheetView zoomScale="110" zoomScaleNormal="110" workbookViewId="0">
      <selection activeCell="I19" sqref="I19"/>
    </sheetView>
  </sheetViews>
  <sheetFormatPr defaultColWidth="10.125" defaultRowHeight="12.75"/>
  <cols>
    <col min="1" max="1" width="5" style="156" customWidth="1"/>
    <col min="2" max="2" width="33.625" style="156" customWidth="1"/>
    <col min="3" max="3" width="27.75" style="156" customWidth="1"/>
    <col min="4" max="4" width="15" style="156" customWidth="1"/>
    <col min="5" max="5" width="7.5" style="156" customWidth="1"/>
    <col min="6" max="16384" width="10.125" style="156"/>
  </cols>
  <sheetData>
    <row r="1" spans="2:6" ht="15" customHeight="1"/>
    <row r="2" spans="2:6" ht="15" customHeight="1">
      <c r="C2" s="188" t="s">
        <v>237</v>
      </c>
    </row>
    <row r="3" spans="2:6" ht="15" customHeight="1">
      <c r="B3" s="158" t="s">
        <v>287</v>
      </c>
      <c r="C3" s="188" t="s">
        <v>288</v>
      </c>
    </row>
    <row r="4" spans="2:6" ht="15" customHeight="1">
      <c r="B4" s="158" t="s">
        <v>289</v>
      </c>
      <c r="C4" s="159" t="s">
        <v>290</v>
      </c>
    </row>
    <row r="5" spans="2:6" ht="15" customHeight="1">
      <c r="B5" s="158" t="s">
        <v>242</v>
      </c>
      <c r="C5" s="159">
        <v>45200</v>
      </c>
    </row>
    <row r="6" spans="2:6" ht="15" customHeight="1">
      <c r="B6" s="158" t="s">
        <v>291</v>
      </c>
      <c r="C6" s="160">
        <v>56.25</v>
      </c>
    </row>
    <row r="7" spans="2:6">
      <c r="B7" s="189"/>
      <c r="C7" s="190"/>
    </row>
    <row r="8" spans="2:6" ht="27.75" customHeight="1">
      <c r="B8" s="163" t="s">
        <v>292</v>
      </c>
      <c r="C8" s="191" t="s">
        <v>293</v>
      </c>
    </row>
    <row r="9" spans="2:6" ht="15" customHeight="1">
      <c r="B9" s="158" t="s">
        <v>247</v>
      </c>
      <c r="C9" s="164">
        <v>0.83340000000000003</v>
      </c>
    </row>
    <row r="10" spans="2:6" ht="15" customHeight="1">
      <c r="B10" s="158" t="s">
        <v>249</v>
      </c>
      <c r="C10" s="164">
        <v>1.1276999999999999</v>
      </c>
    </row>
    <row r="11" spans="2:6" ht="14.1" customHeight="1">
      <c r="B11" s="189"/>
      <c r="C11" s="189"/>
    </row>
    <row r="12" spans="2:6" ht="15" customHeight="1">
      <c r="B12" s="165" t="s">
        <v>294</v>
      </c>
      <c r="C12" s="166"/>
    </row>
    <row r="13" spans="2:6" ht="15" customHeight="1">
      <c r="B13" s="192" t="s">
        <v>295</v>
      </c>
      <c r="C13" s="193">
        <f>C6*(1+C9)</f>
        <v>103.12875000000001</v>
      </c>
      <c r="D13" s="194"/>
      <c r="F13" s="195"/>
    </row>
    <row r="14" spans="2:6" ht="15" customHeight="1">
      <c r="B14" s="192" t="s">
        <v>296</v>
      </c>
      <c r="C14" s="193">
        <f>C6*(1+C10)</f>
        <v>119.68312499999999</v>
      </c>
      <c r="D14" s="194"/>
      <c r="F14" s="195"/>
    </row>
    <row r="16" spans="2:6" ht="40.5" customHeight="1">
      <c r="B16" s="262" t="s">
        <v>297</v>
      </c>
      <c r="C16" s="262"/>
    </row>
  </sheetData>
  <mergeCells count="1">
    <mergeCell ref="B16:C16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C965C-37D3-4C7D-9E6A-193DCFA78A8B}">
  <sheetPr>
    <tabColor rgb="FFFFFFFF"/>
  </sheetPr>
  <dimension ref="B1:K20"/>
  <sheetViews>
    <sheetView zoomScale="110" zoomScaleNormal="110" workbookViewId="0">
      <selection activeCell="M14" sqref="M14"/>
    </sheetView>
  </sheetViews>
  <sheetFormatPr defaultColWidth="8.125" defaultRowHeight="12.75"/>
  <cols>
    <col min="1" max="1" width="5" style="170" customWidth="1"/>
    <col min="2" max="2" width="2.875" style="170" customWidth="1"/>
    <col min="3" max="3" width="11.75" style="170" customWidth="1"/>
    <col min="4" max="4" width="57.75" style="170" customWidth="1"/>
    <col min="5" max="5" width="28.875" style="170" customWidth="1"/>
    <col min="6" max="6" width="9.625" style="170" customWidth="1"/>
    <col min="7" max="7" width="13.25" style="170" customWidth="1"/>
    <col min="8" max="8" width="11.5" style="170" customWidth="1"/>
    <col min="9" max="9" width="13.5" style="170" customWidth="1"/>
    <col min="10" max="1026" width="8.25" style="170" customWidth="1"/>
    <col min="1027" max="16384" width="8.125" style="170"/>
  </cols>
  <sheetData>
    <row r="1" spans="2:11" ht="15" customHeight="1"/>
    <row r="2" spans="2:11" ht="24.75" customHeight="1">
      <c r="B2" s="268" t="s">
        <v>298</v>
      </c>
      <c r="C2" s="268"/>
      <c r="D2" s="268"/>
      <c r="E2" s="268"/>
      <c r="F2" s="268"/>
      <c r="G2" s="268"/>
      <c r="H2" s="268"/>
      <c r="I2" s="268"/>
    </row>
    <row r="3" spans="2:11" ht="20.100000000000001" customHeight="1"/>
    <row r="4" spans="2:11" ht="16.5" customHeight="1">
      <c r="B4" s="269" t="s">
        <v>299</v>
      </c>
      <c r="C4" s="269"/>
      <c r="D4" s="269"/>
      <c r="E4" s="269"/>
      <c r="F4" s="269"/>
      <c r="G4" s="269"/>
      <c r="H4" s="269"/>
      <c r="I4" s="269"/>
    </row>
    <row r="5" spans="2:11" ht="16.5" customHeight="1">
      <c r="B5" s="263" t="s">
        <v>134</v>
      </c>
      <c r="C5" s="263"/>
      <c r="D5" s="264">
        <v>91677</v>
      </c>
      <c r="E5" s="264"/>
      <c r="F5" s="264"/>
      <c r="G5" s="264"/>
      <c r="H5" s="264"/>
      <c r="I5" s="264"/>
    </row>
    <row r="6" spans="2:11" ht="16.5" customHeight="1">
      <c r="B6" s="263" t="s">
        <v>120</v>
      </c>
      <c r="C6" s="263"/>
      <c r="D6" s="264" t="s">
        <v>300</v>
      </c>
      <c r="E6" s="264"/>
      <c r="F6" s="264"/>
      <c r="G6" s="264"/>
      <c r="H6" s="264"/>
      <c r="I6" s="264"/>
    </row>
    <row r="7" spans="2:11" ht="16.5" customHeight="1">
      <c r="B7" s="263" t="s">
        <v>137</v>
      </c>
      <c r="C7" s="263"/>
      <c r="D7" s="267" t="s">
        <v>236</v>
      </c>
      <c r="E7" s="267"/>
      <c r="F7" s="267"/>
      <c r="G7" s="267"/>
      <c r="H7" s="267"/>
      <c r="I7" s="267"/>
    </row>
    <row r="8" spans="2:11" ht="16.5" customHeight="1">
      <c r="B8" s="263" t="s">
        <v>138</v>
      </c>
      <c r="C8" s="263"/>
      <c r="D8" s="264" t="s">
        <v>237</v>
      </c>
      <c r="E8" s="264"/>
      <c r="F8" s="264"/>
      <c r="G8" s="264"/>
      <c r="H8" s="264"/>
      <c r="I8" s="264"/>
    </row>
    <row r="9" spans="2:11" ht="16.5" customHeight="1">
      <c r="B9" s="263" t="s">
        <v>140</v>
      </c>
      <c r="C9" s="263"/>
      <c r="D9" s="264" t="s">
        <v>263</v>
      </c>
      <c r="E9" s="264"/>
      <c r="F9" s="264"/>
      <c r="G9" s="264"/>
      <c r="H9" s="264"/>
      <c r="I9" s="264"/>
    </row>
    <row r="10" spans="2:11" ht="16.5" customHeight="1">
      <c r="B10" s="263" t="s">
        <v>121</v>
      </c>
      <c r="C10" s="263"/>
      <c r="D10" s="264" t="s">
        <v>148</v>
      </c>
      <c r="E10" s="264"/>
      <c r="F10" s="264"/>
      <c r="G10" s="264"/>
      <c r="H10" s="264"/>
      <c r="I10" s="264"/>
    </row>
    <row r="11" spans="2:11" ht="23.25" customHeight="1">
      <c r="B11" s="265" t="s">
        <v>142</v>
      </c>
      <c r="C11" s="265"/>
      <c r="D11" s="266">
        <f>SUM(I14:I19)</f>
        <v>108.89875000000001</v>
      </c>
      <c r="E11" s="266"/>
      <c r="F11" s="266"/>
      <c r="G11" s="266"/>
      <c r="H11" s="266"/>
      <c r="I11" s="266"/>
    </row>
    <row r="12" spans="2:11" ht="15.75" customHeight="1">
      <c r="B12" s="171"/>
      <c r="C12" s="171"/>
      <c r="D12" s="172"/>
      <c r="E12" s="172"/>
      <c r="F12" s="172"/>
      <c r="G12" s="172"/>
      <c r="H12" s="172"/>
      <c r="I12" s="172"/>
    </row>
    <row r="13" spans="2:11" ht="30">
      <c r="B13" s="173"/>
      <c r="C13" s="173" t="s">
        <v>143</v>
      </c>
      <c r="D13" s="173" t="s">
        <v>120</v>
      </c>
      <c r="E13" s="173" t="s">
        <v>140</v>
      </c>
      <c r="F13" s="173" t="s">
        <v>121</v>
      </c>
      <c r="G13" s="173" t="s">
        <v>301</v>
      </c>
      <c r="H13" s="173" t="s">
        <v>144</v>
      </c>
      <c r="I13" s="173" t="s">
        <v>302</v>
      </c>
    </row>
    <row r="14" spans="2:11" ht="20.100000000000001" customHeight="1">
      <c r="B14" s="174" t="s">
        <v>216</v>
      </c>
      <c r="C14" s="174" t="s">
        <v>303</v>
      </c>
      <c r="D14" s="174" t="s">
        <v>304</v>
      </c>
      <c r="E14" s="174" t="s">
        <v>305</v>
      </c>
      <c r="F14" s="174" t="s">
        <v>148</v>
      </c>
      <c r="G14" s="176">
        <v>3.84</v>
      </c>
      <c r="H14" s="176">
        <v>1</v>
      </c>
      <c r="I14" s="177">
        <f t="shared" ref="I14:I19" si="0">G14*H14</f>
        <v>3.84</v>
      </c>
      <c r="J14" s="178"/>
      <c r="K14" s="178"/>
    </row>
    <row r="15" spans="2:11" ht="20.100000000000001" customHeight="1">
      <c r="B15" s="174" t="s">
        <v>216</v>
      </c>
      <c r="C15" s="174" t="s">
        <v>306</v>
      </c>
      <c r="D15" s="174" t="s">
        <v>288</v>
      </c>
      <c r="E15" s="174" t="s">
        <v>268</v>
      </c>
      <c r="F15" s="174" t="s">
        <v>148</v>
      </c>
      <c r="G15" s="176">
        <f>'Custo Eng. Eletricista'!C13</f>
        <v>103.12875000000001</v>
      </c>
      <c r="H15" s="176">
        <v>1</v>
      </c>
      <c r="I15" s="177">
        <f t="shared" si="0"/>
        <v>103.12875000000001</v>
      </c>
      <c r="J15" s="178"/>
      <c r="K15" s="178"/>
    </row>
    <row r="16" spans="2:11" ht="30" customHeight="1">
      <c r="B16" s="174" t="s">
        <v>216</v>
      </c>
      <c r="C16" s="174" t="s">
        <v>307</v>
      </c>
      <c r="D16" s="174" t="s">
        <v>273</v>
      </c>
      <c r="E16" s="174" t="s">
        <v>270</v>
      </c>
      <c r="F16" s="174" t="s">
        <v>148</v>
      </c>
      <c r="G16" s="176" t="s">
        <v>308</v>
      </c>
      <c r="H16" s="176">
        <v>1</v>
      </c>
      <c r="I16" s="177">
        <f t="shared" si="0"/>
        <v>1.1399999999999999</v>
      </c>
      <c r="J16" s="178"/>
      <c r="K16" s="178"/>
    </row>
    <row r="17" spans="2:11" ht="30" customHeight="1">
      <c r="B17" s="174" t="s">
        <v>216</v>
      </c>
      <c r="C17" s="174" t="s">
        <v>309</v>
      </c>
      <c r="D17" s="174" t="s">
        <v>274</v>
      </c>
      <c r="E17" s="174" t="s">
        <v>275</v>
      </c>
      <c r="F17" s="174" t="s">
        <v>148</v>
      </c>
      <c r="G17" s="176" t="s">
        <v>310</v>
      </c>
      <c r="H17" s="176">
        <v>1</v>
      </c>
      <c r="I17" s="177">
        <f t="shared" si="0"/>
        <v>7.0000000000000007E-2</v>
      </c>
      <c r="J17" s="178"/>
      <c r="K17" s="178"/>
    </row>
    <row r="18" spans="2:11" ht="30" customHeight="1">
      <c r="B18" s="174" t="s">
        <v>216</v>
      </c>
      <c r="C18" s="174" t="s">
        <v>311</v>
      </c>
      <c r="D18" s="174" t="s">
        <v>312</v>
      </c>
      <c r="E18" s="174" t="s">
        <v>277</v>
      </c>
      <c r="F18" s="174" t="s">
        <v>148</v>
      </c>
      <c r="G18" s="176" t="s">
        <v>313</v>
      </c>
      <c r="H18" s="176">
        <v>1</v>
      </c>
      <c r="I18" s="177">
        <f t="shared" si="0"/>
        <v>0.01</v>
      </c>
      <c r="J18" s="178"/>
      <c r="K18" s="178"/>
    </row>
    <row r="19" spans="2:11" ht="30" customHeight="1">
      <c r="B19" s="174" t="s">
        <v>216</v>
      </c>
      <c r="C19" s="174" t="s">
        <v>314</v>
      </c>
      <c r="D19" s="174" t="s">
        <v>315</v>
      </c>
      <c r="E19" s="174" t="s">
        <v>277</v>
      </c>
      <c r="F19" s="174" t="s">
        <v>148</v>
      </c>
      <c r="G19" s="176" t="s">
        <v>316</v>
      </c>
      <c r="H19" s="176">
        <v>1</v>
      </c>
      <c r="I19" s="177">
        <f t="shared" si="0"/>
        <v>0.71</v>
      </c>
      <c r="J19" s="178"/>
      <c r="K19" s="178"/>
    </row>
    <row r="20" spans="2:11" ht="20.100000000000001" customHeight="1"/>
  </sheetData>
  <mergeCells count="16">
    <mergeCell ref="B2:I2"/>
    <mergeCell ref="B4:I4"/>
    <mergeCell ref="B5:C5"/>
    <mergeCell ref="D5:I5"/>
    <mergeCell ref="B6:C6"/>
    <mergeCell ref="D6:I6"/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13BE9-011F-4CC9-A10C-2707224095ED}">
  <sheetPr>
    <tabColor theme="0"/>
  </sheetPr>
  <dimension ref="B1:E25"/>
  <sheetViews>
    <sheetView zoomScale="110" zoomScaleNormal="110" workbookViewId="0">
      <selection activeCell="E21" sqref="E21"/>
    </sheetView>
  </sheetViews>
  <sheetFormatPr defaultColWidth="10.125" defaultRowHeight="12.75"/>
  <cols>
    <col min="1" max="1" width="5.625" style="156" customWidth="1"/>
    <col min="2" max="2" width="47.25" style="156" customWidth="1"/>
    <col min="3" max="3" width="37.125" style="156" customWidth="1"/>
    <col min="4" max="4" width="29.875" style="156" customWidth="1"/>
    <col min="5" max="5" width="14.25" style="156" customWidth="1"/>
    <col min="6" max="16384" width="10.125" style="156"/>
  </cols>
  <sheetData>
    <row r="1" spans="2:5" ht="15" customHeight="1"/>
    <row r="2" spans="2:5">
      <c r="C2" s="157" t="s">
        <v>237</v>
      </c>
    </row>
    <row r="3" spans="2:5">
      <c r="B3" s="158" t="s">
        <v>238</v>
      </c>
      <c r="C3" s="157" t="s">
        <v>239</v>
      </c>
    </row>
    <row r="4" spans="2:5" ht="15">
      <c r="B4" s="158" t="s">
        <v>240</v>
      </c>
      <c r="C4" s="159" t="s">
        <v>241</v>
      </c>
    </row>
    <row r="5" spans="2:5">
      <c r="B5" s="158" t="s">
        <v>242</v>
      </c>
      <c r="C5" s="159">
        <v>45078</v>
      </c>
    </row>
    <row r="6" spans="2:5" ht="25.5">
      <c r="B6" s="158" t="s">
        <v>243</v>
      </c>
      <c r="C6" s="159" t="s">
        <v>244</v>
      </c>
    </row>
    <row r="7" spans="2:5">
      <c r="B7" s="158" t="s">
        <v>245</v>
      </c>
      <c r="C7" s="160">
        <v>2140.6</v>
      </c>
    </row>
    <row r="8" spans="2:5">
      <c r="B8" s="161"/>
      <c r="C8" s="162"/>
    </row>
    <row r="9" spans="2:5" ht="25.5">
      <c r="B9" s="163" t="s">
        <v>246</v>
      </c>
      <c r="C9" s="158"/>
    </row>
    <row r="10" spans="2:5">
      <c r="B10" s="158" t="s">
        <v>247</v>
      </c>
      <c r="C10" s="164">
        <v>0.83340000000000003</v>
      </c>
    </row>
    <row r="11" spans="2:5">
      <c r="B11" s="158" t="s">
        <v>248</v>
      </c>
      <c r="C11" s="164">
        <v>0.4632</v>
      </c>
    </row>
    <row r="12" spans="2:5">
      <c r="B12" s="158" t="s">
        <v>249</v>
      </c>
      <c r="C12" s="164">
        <v>1.1276999999999999</v>
      </c>
    </row>
    <row r="13" spans="2:5">
      <c r="B13" s="158" t="s">
        <v>250</v>
      </c>
      <c r="C13" s="164">
        <v>0.69879999999999998</v>
      </c>
    </row>
    <row r="14" spans="2:5" ht="14.1" customHeight="1">
      <c r="B14" s="161"/>
      <c r="C14" s="161"/>
    </row>
    <row r="15" spans="2:5">
      <c r="B15" s="165" t="s">
        <v>251</v>
      </c>
      <c r="C15" s="166"/>
    </row>
    <row r="16" spans="2:5" ht="15.75">
      <c r="B16" s="158" t="s">
        <v>252</v>
      </c>
      <c r="C16" s="166">
        <f>C7*(1+C11)</f>
        <v>3132.12592</v>
      </c>
      <c r="D16" s="167"/>
      <c r="E16" s="167"/>
    </row>
    <row r="17" spans="2:5" ht="15.75">
      <c r="B17" s="158" t="s">
        <v>253</v>
      </c>
      <c r="C17" s="166">
        <f>C7*(1+C13)</f>
        <v>3636.4512799999998</v>
      </c>
      <c r="D17" s="167"/>
      <c r="E17" s="167"/>
    </row>
    <row r="18" spans="2:5" ht="15.75">
      <c r="B18" s="158" t="s">
        <v>254</v>
      </c>
      <c r="C18" s="168">
        <f>C16*(1+C10)/(220*(1+C11))</f>
        <v>17.838982000000001</v>
      </c>
      <c r="D18" s="169"/>
      <c r="E18" s="167"/>
    </row>
    <row r="19" spans="2:5" ht="15.75">
      <c r="B19" s="158" t="s">
        <v>255</v>
      </c>
      <c r="C19" s="168">
        <f>(C17*(1+C12)/(220*(1+C13)))</f>
        <v>20.702520999999997</v>
      </c>
      <c r="D19" s="169"/>
      <c r="E19" s="167"/>
    </row>
    <row r="21" spans="2:5">
      <c r="B21" s="156" t="s">
        <v>256</v>
      </c>
    </row>
    <row r="22" spans="2:5" ht="69.95" customHeight="1"/>
    <row r="23" spans="2:5" ht="34.5" customHeight="1">
      <c r="B23" s="262" t="s">
        <v>257</v>
      </c>
      <c r="C23" s="262"/>
    </row>
    <row r="24" spans="2:5" ht="34.35" customHeight="1">
      <c r="B24" s="262" t="s">
        <v>258</v>
      </c>
      <c r="C24" s="262"/>
    </row>
    <row r="25" spans="2:5" ht="30" customHeight="1">
      <c r="B25" s="262" t="s">
        <v>259</v>
      </c>
      <c r="C25" s="262"/>
    </row>
  </sheetData>
  <mergeCells count="3">
    <mergeCell ref="B23:C23"/>
    <mergeCell ref="B24:C24"/>
    <mergeCell ref="B25:C25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87B26-C107-4F3E-A59D-340B9DF09A4F}">
  <sheetPr>
    <tabColor rgb="FFFFFFFF"/>
  </sheetPr>
  <dimension ref="B1:K22"/>
  <sheetViews>
    <sheetView zoomScale="110" zoomScaleNormal="110" workbookViewId="0">
      <selection activeCell="J10" sqref="J10"/>
    </sheetView>
  </sheetViews>
  <sheetFormatPr defaultColWidth="8.125" defaultRowHeight="12.75"/>
  <cols>
    <col min="1" max="1" width="5.625" style="170" customWidth="1"/>
    <col min="2" max="2" width="2.875" style="170" customWidth="1"/>
    <col min="3" max="3" width="11.75" style="170" customWidth="1"/>
    <col min="4" max="4" width="57.75" style="170" customWidth="1"/>
    <col min="5" max="5" width="28.875" style="170" customWidth="1"/>
    <col min="6" max="6" width="9.625" style="170" customWidth="1"/>
    <col min="7" max="7" width="13.25" style="170" customWidth="1"/>
    <col min="8" max="8" width="11.5" style="170" customWidth="1"/>
    <col min="9" max="9" width="13.5" style="170" customWidth="1"/>
    <col min="10" max="1026" width="8.25" style="170" customWidth="1"/>
    <col min="1027" max="16384" width="8.125" style="170"/>
  </cols>
  <sheetData>
    <row r="1" spans="2:11" ht="15" customHeight="1"/>
    <row r="2" spans="2:11" ht="24.75" customHeight="1">
      <c r="B2" s="268" t="s">
        <v>260</v>
      </c>
      <c r="C2" s="268"/>
      <c r="D2" s="268"/>
      <c r="E2" s="268"/>
      <c r="F2" s="268"/>
      <c r="G2" s="268"/>
      <c r="H2" s="268"/>
      <c r="I2" s="268"/>
    </row>
    <row r="3" spans="2:11" ht="21" customHeight="1"/>
    <row r="4" spans="2:11" ht="16.5" customHeight="1">
      <c r="B4" s="269" t="s">
        <v>261</v>
      </c>
      <c r="C4" s="269"/>
      <c r="D4" s="269"/>
      <c r="E4" s="269"/>
      <c r="F4" s="269"/>
      <c r="G4" s="269"/>
      <c r="H4" s="269"/>
      <c r="I4" s="269"/>
    </row>
    <row r="5" spans="2:11" ht="16.5" customHeight="1">
      <c r="B5" s="263" t="s">
        <v>134</v>
      </c>
      <c r="C5" s="263"/>
      <c r="D5" s="264">
        <v>88264</v>
      </c>
      <c r="E5" s="264"/>
      <c r="F5" s="264"/>
      <c r="G5" s="264"/>
      <c r="H5" s="264"/>
      <c r="I5" s="264"/>
    </row>
    <row r="6" spans="2:11" ht="16.5" customHeight="1">
      <c r="B6" s="263" t="s">
        <v>120</v>
      </c>
      <c r="C6" s="263"/>
      <c r="D6" s="264" t="s">
        <v>262</v>
      </c>
      <c r="E6" s="264"/>
      <c r="F6" s="264"/>
      <c r="G6" s="264"/>
      <c r="H6" s="264"/>
      <c r="I6" s="264"/>
    </row>
    <row r="7" spans="2:11" ht="16.5" customHeight="1">
      <c r="B7" s="263" t="s">
        <v>137</v>
      </c>
      <c r="C7" s="263"/>
      <c r="D7" s="270" t="s">
        <v>236</v>
      </c>
      <c r="E7" s="270"/>
      <c r="F7" s="270"/>
      <c r="G7" s="270"/>
      <c r="H7" s="270"/>
      <c r="I7" s="270"/>
    </row>
    <row r="8" spans="2:11" ht="16.5" customHeight="1">
      <c r="B8" s="263" t="s">
        <v>138</v>
      </c>
      <c r="C8" s="263"/>
      <c r="D8" s="264" t="s">
        <v>237</v>
      </c>
      <c r="E8" s="264"/>
      <c r="F8" s="264"/>
      <c r="G8" s="264"/>
      <c r="H8" s="264"/>
      <c r="I8" s="264"/>
    </row>
    <row r="9" spans="2:11" ht="16.5" customHeight="1">
      <c r="B9" s="263" t="s">
        <v>140</v>
      </c>
      <c r="C9" s="263"/>
      <c r="D9" s="264" t="s">
        <v>263</v>
      </c>
      <c r="E9" s="264"/>
      <c r="F9" s="264"/>
      <c r="G9" s="264"/>
      <c r="H9" s="264"/>
      <c r="I9" s="264"/>
    </row>
    <row r="10" spans="2:11" ht="16.5" customHeight="1">
      <c r="B10" s="263" t="s">
        <v>121</v>
      </c>
      <c r="C10" s="263"/>
      <c r="D10" s="264" t="s">
        <v>148</v>
      </c>
      <c r="E10" s="264"/>
      <c r="F10" s="264"/>
      <c r="G10" s="264"/>
      <c r="H10" s="264"/>
      <c r="I10" s="264"/>
    </row>
    <row r="11" spans="2:11" ht="23.25" customHeight="1">
      <c r="B11" s="265" t="s">
        <v>142</v>
      </c>
      <c r="C11" s="265"/>
      <c r="D11" s="266">
        <f>SUM(I14:I22)</f>
        <v>24.41</v>
      </c>
      <c r="E11" s="266"/>
      <c r="F11" s="266"/>
      <c r="G11" s="266"/>
      <c r="H11" s="266"/>
      <c r="I11" s="266"/>
    </row>
    <row r="12" spans="2:11" ht="15.75" customHeight="1">
      <c r="B12" s="171"/>
      <c r="C12" s="171"/>
      <c r="D12" s="172"/>
      <c r="E12" s="172"/>
      <c r="F12" s="172"/>
      <c r="G12" s="172"/>
      <c r="H12" s="172"/>
      <c r="I12" s="172"/>
    </row>
    <row r="13" spans="2:11" ht="45">
      <c r="B13" s="173"/>
      <c r="C13" s="173" t="s">
        <v>143</v>
      </c>
      <c r="D13" s="173" t="s">
        <v>120</v>
      </c>
      <c r="E13" s="173" t="s">
        <v>140</v>
      </c>
      <c r="F13" s="173" t="s">
        <v>121</v>
      </c>
      <c r="G13" s="173" t="s">
        <v>264</v>
      </c>
      <c r="H13" s="173" t="s">
        <v>144</v>
      </c>
      <c r="I13" s="173" t="s">
        <v>142</v>
      </c>
    </row>
    <row r="14" spans="2:11" ht="27.75" customHeight="1">
      <c r="B14" s="174" t="s">
        <v>145</v>
      </c>
      <c r="C14" s="174">
        <v>95332</v>
      </c>
      <c r="D14" s="174" t="s">
        <v>265</v>
      </c>
      <c r="E14" s="174" t="s">
        <v>263</v>
      </c>
      <c r="F14" s="174" t="s">
        <v>148</v>
      </c>
      <c r="G14" s="175">
        <v>0.74</v>
      </c>
      <c r="H14" s="176">
        <v>1</v>
      </c>
      <c r="I14" s="177">
        <f t="shared" ref="I14:I22" si="0">G14*H14</f>
        <v>0.74</v>
      </c>
      <c r="J14" s="178"/>
      <c r="K14" s="178"/>
    </row>
    <row r="15" spans="2:11" ht="32.85" customHeight="1">
      <c r="B15" s="174" t="s">
        <v>216</v>
      </c>
      <c r="C15" s="174" t="s">
        <v>266</v>
      </c>
      <c r="D15" s="174" t="s">
        <v>267</v>
      </c>
      <c r="E15" s="174" t="s">
        <v>268</v>
      </c>
      <c r="F15" s="174" t="s">
        <v>148</v>
      </c>
      <c r="G15" s="175">
        <v>17.84</v>
      </c>
      <c r="H15" s="176">
        <v>1</v>
      </c>
      <c r="I15" s="177">
        <f t="shared" si="0"/>
        <v>17.84</v>
      </c>
      <c r="J15" s="178"/>
      <c r="K15" s="178"/>
    </row>
    <row r="16" spans="2:11" ht="42" customHeight="1">
      <c r="B16" s="174" t="s">
        <v>216</v>
      </c>
      <c r="C16" s="174">
        <v>37370</v>
      </c>
      <c r="D16" s="174" t="s">
        <v>269</v>
      </c>
      <c r="E16" s="174" t="s">
        <v>270</v>
      </c>
      <c r="F16" s="174" t="s">
        <v>148</v>
      </c>
      <c r="G16" s="175">
        <v>1.27</v>
      </c>
      <c r="H16" s="176">
        <v>1</v>
      </c>
      <c r="I16" s="177">
        <f t="shared" si="0"/>
        <v>1.27</v>
      </c>
      <c r="J16" s="178"/>
      <c r="K16" s="178"/>
    </row>
    <row r="17" spans="2:11" ht="27.75" customHeight="1">
      <c r="B17" s="174" t="s">
        <v>216</v>
      </c>
      <c r="C17" s="174">
        <v>37371</v>
      </c>
      <c r="D17" s="174" t="s">
        <v>271</v>
      </c>
      <c r="E17" s="174" t="s">
        <v>272</v>
      </c>
      <c r="F17" s="174" t="s">
        <v>148</v>
      </c>
      <c r="G17" s="175">
        <v>1.03</v>
      </c>
      <c r="H17" s="176">
        <v>1</v>
      </c>
      <c r="I17" s="177">
        <f t="shared" si="0"/>
        <v>1.03</v>
      </c>
      <c r="J17" s="178"/>
      <c r="K17" s="178"/>
    </row>
    <row r="18" spans="2:11" ht="42" customHeight="1">
      <c r="B18" s="174" t="s">
        <v>216</v>
      </c>
      <c r="C18" s="174">
        <v>37372</v>
      </c>
      <c r="D18" s="174" t="s">
        <v>273</v>
      </c>
      <c r="E18" s="174" t="s">
        <v>270</v>
      </c>
      <c r="F18" s="174" t="s">
        <v>148</v>
      </c>
      <c r="G18" s="175">
        <v>1.1399999999999999</v>
      </c>
      <c r="H18" s="176">
        <v>1</v>
      </c>
      <c r="I18" s="177">
        <f t="shared" si="0"/>
        <v>1.1399999999999999</v>
      </c>
      <c r="J18" s="178"/>
      <c r="K18" s="178"/>
    </row>
    <row r="19" spans="2:11" ht="27.75" customHeight="1">
      <c r="B19" s="174" t="s">
        <v>216</v>
      </c>
      <c r="C19" s="174">
        <v>37373</v>
      </c>
      <c r="D19" s="174" t="s">
        <v>274</v>
      </c>
      <c r="E19" s="174" t="s">
        <v>275</v>
      </c>
      <c r="F19" s="174" t="s">
        <v>148</v>
      </c>
      <c r="G19" s="175">
        <v>7.0000000000000007E-2</v>
      </c>
      <c r="H19" s="176">
        <v>1</v>
      </c>
      <c r="I19" s="177">
        <f t="shared" si="0"/>
        <v>7.0000000000000007E-2</v>
      </c>
      <c r="J19" s="178"/>
      <c r="K19" s="178"/>
    </row>
    <row r="20" spans="2:11" ht="27.75" customHeight="1">
      <c r="B20" s="174" t="s">
        <v>216</v>
      </c>
      <c r="C20" s="174">
        <v>43460</v>
      </c>
      <c r="D20" s="174" t="s">
        <v>276</v>
      </c>
      <c r="E20" s="174" t="s">
        <v>277</v>
      </c>
      <c r="F20" s="174" t="s">
        <v>148</v>
      </c>
      <c r="G20" s="175">
        <v>0.86</v>
      </c>
      <c r="H20" s="176">
        <v>1</v>
      </c>
      <c r="I20" s="177">
        <f t="shared" si="0"/>
        <v>0.86</v>
      </c>
      <c r="J20" s="178"/>
      <c r="K20" s="178"/>
    </row>
    <row r="21" spans="2:11" ht="29.25" customHeight="1">
      <c r="B21" s="179" t="s">
        <v>216</v>
      </c>
      <c r="C21" s="179">
        <v>43461</v>
      </c>
      <c r="D21" s="179" t="s">
        <v>278</v>
      </c>
      <c r="E21" s="179" t="s">
        <v>277</v>
      </c>
      <c r="F21" s="179" t="s">
        <v>148</v>
      </c>
      <c r="G21" s="180">
        <v>0.32</v>
      </c>
      <c r="H21" s="181">
        <v>1</v>
      </c>
      <c r="I21" s="182">
        <f t="shared" si="0"/>
        <v>0.32</v>
      </c>
      <c r="J21" s="178"/>
      <c r="K21" s="178"/>
    </row>
    <row r="22" spans="2:11" ht="27.75" customHeight="1">
      <c r="B22" s="174" t="s">
        <v>216</v>
      </c>
      <c r="C22" s="174">
        <v>43484</v>
      </c>
      <c r="D22" s="174" t="s">
        <v>279</v>
      </c>
      <c r="E22" s="174" t="s">
        <v>277</v>
      </c>
      <c r="F22" s="174" t="s">
        <v>148</v>
      </c>
      <c r="G22" s="175">
        <v>1.1399999999999999</v>
      </c>
      <c r="H22" s="176">
        <v>1</v>
      </c>
      <c r="I22" s="177">
        <f t="shared" si="0"/>
        <v>1.1399999999999999</v>
      </c>
      <c r="J22" s="178"/>
      <c r="K22" s="178"/>
    </row>
  </sheetData>
  <mergeCells count="16"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  <mergeCell ref="B2:I2"/>
    <mergeCell ref="B4:I4"/>
    <mergeCell ref="B5:C5"/>
    <mergeCell ref="D5:I5"/>
    <mergeCell ref="B6:C6"/>
    <mergeCell ref="D6:I6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EE1BE7-826B-4621-9ED3-4701CE39B331}">
  <ds:schemaRefs>
    <ds:schemaRef ds:uri="706c7f7c-e32b-4162-b9b5-46b4313c91a4"/>
    <ds:schemaRef ds:uri="132d983b-bc52-4905-b3a2-4655d790e7be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F3A8E04-5F1C-4EE6-81D6-803C5BC182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9FB63F-E659-4244-995A-118856BF9D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27</vt:i4>
      </vt:variant>
    </vt:vector>
  </HeadingPairs>
  <TitlesOfParts>
    <vt:vector size="40" baseType="lpstr">
      <vt:lpstr>Valor da Contratação</vt:lpstr>
      <vt:lpstr>Resumo</vt:lpstr>
      <vt:lpstr>Equipe Técnica</vt:lpstr>
      <vt:lpstr>Base Ijuí</vt:lpstr>
      <vt:lpstr>Desl. Base Ijuí</vt:lpstr>
      <vt:lpstr>Custo Eng. Eletricista</vt:lpstr>
      <vt:lpstr>Comp. Eng. Eletricista</vt:lpstr>
      <vt:lpstr>Custo Oficial de Manutenção</vt:lpstr>
      <vt:lpstr>Comp. Oficial de Manutenção</vt:lpstr>
      <vt:lpstr>Comp. Veículo</vt:lpstr>
      <vt:lpstr>Unidades</vt:lpstr>
      <vt:lpstr>BDI</vt:lpstr>
      <vt:lpstr>Divisão Custos ISSQN</vt:lpstr>
      <vt:lpstr>'Base Ijuí'!_xlnm_Print_Area</vt:lpstr>
      <vt:lpstr>'Desl. Base Ijuí'!_xlnm_Print_Area</vt:lpstr>
      <vt:lpstr>'Equipe Técnica'!_xlnm_Print_Area</vt:lpstr>
      <vt:lpstr>Unidades!_xlnm_Print_Area</vt:lpstr>
      <vt:lpstr>'Base Ijuí'!_xlnm_Print_Area_0</vt:lpstr>
      <vt:lpstr>'Desl. Base Ijuí'!_xlnm_Print_Area_0</vt:lpstr>
      <vt:lpstr>'Equipe Técnica'!_xlnm_Print_Area_0</vt:lpstr>
      <vt:lpstr>Unidades!_xlnm_Print_Area_0</vt:lpstr>
      <vt:lpstr>'Base Ijuí'!Area_de_impressao</vt:lpstr>
      <vt:lpstr>BDI!Area_de_impressao</vt:lpstr>
      <vt:lpstr>'Desl. Base Ijuí'!Area_de_impressao</vt:lpstr>
      <vt:lpstr>'Equipe Técnica'!Area_de_impressao</vt:lpstr>
      <vt:lpstr>Unidades!Area_de_impressao</vt:lpstr>
      <vt:lpstr>'Base Ijuí'!Excel_BuiltIn_Print_Area</vt:lpstr>
      <vt:lpstr>Unidades!Excel_BuiltIn_Print_Area</vt:lpstr>
      <vt:lpstr>'Base Ijuí'!Print_Area_0</vt:lpstr>
      <vt:lpstr>'Desl. Base Ijuí'!Print_Area_0</vt:lpstr>
      <vt:lpstr>'Equipe Técnica'!Print_Area_0</vt:lpstr>
      <vt:lpstr>Unidades!Print_Area_0</vt:lpstr>
      <vt:lpstr>'Base Ijuí'!Print_Area_0_0</vt:lpstr>
      <vt:lpstr>'Desl. Base Ijuí'!Print_Area_0_0</vt:lpstr>
      <vt:lpstr>'Equipe Técnica'!Print_Area_0_0</vt:lpstr>
      <vt:lpstr>Unidades!Print_Area_0_0</vt:lpstr>
      <vt:lpstr>'Base Ijuí'!Print_Area_0_0_0</vt:lpstr>
      <vt:lpstr>'Desl. Base Ijuí'!Print_Area_0_0_0</vt:lpstr>
      <vt:lpstr>'Base Ijuí'!Print_Area_0_0_0_0</vt:lpstr>
      <vt:lpstr>'Desl. Base Ijuí'!Print_Area_0_0_0_0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cp:keywords/>
  <dc:description/>
  <cp:lastModifiedBy>RODRIGO SANTOS</cp:lastModifiedBy>
  <cp:revision>35</cp:revision>
  <dcterms:created xsi:type="dcterms:W3CDTF">2022-02-01T12:05:24Z</dcterms:created>
  <dcterms:modified xsi:type="dcterms:W3CDTF">2023-12-07T12:50:30Z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0x010100371AF4B6DB407844954F4A0779E09E62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ediaServiceImageTags">
    <vt:lpwstr/>
  </property>
</Properties>
</file>